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3"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汇总）" sheetId="70" r:id="rId24"/>
    <sheet name="收益法已出租" sheetId="15" r:id="rId25"/>
    <sheet name="收益法未出租" sheetId="79"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楼层修正" sheetId="83" r:id="rId46"/>
    <sheet name="租金比较法-商业" sheetId="82" r:id="rId47"/>
    <sheet name="租金" sheetId="77" r:id="rId48"/>
    <sheet name="年期修正系数" sheetId="78" r:id="rId49"/>
    <sheet name="案例" sheetId="80"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6" hidden="1">'租金比较法-商业'!$A$1:$L$49</definedName>
    <definedName name="_xlnm.Print_Area" localSheetId="26">'收益法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6">'租金比较法-商业'!$B$116:$M$116</definedName>
    <definedName name="商业层高">'比较法-商业'!$B$116:$M$116</definedName>
    <definedName name="商业成新度" localSheetId="46">'租金比较法-商业'!$B$109:$M$109</definedName>
    <definedName name="商业成新度">'比较法-商业'!$B$109:$M$109</definedName>
    <definedName name="商业繁华度">定义!$L$1:$L$6</definedName>
    <definedName name="商业公共部分装修" localSheetId="46">'租金比较法-商业'!$B$107:$M$107</definedName>
    <definedName name="商业公共部分装修">'比较法-商业'!$B$107:$M$107</definedName>
    <definedName name="商业基础设施水平" localSheetId="46">'租金比较法-商业'!$B$112:$M$112</definedName>
    <definedName name="商业基础设施水平">'比较法-商业'!$B$112:$M$112</definedName>
    <definedName name="商业建筑结构" localSheetId="46">'租金比较法-商业'!$B$105:$M$105</definedName>
    <definedName name="商业建筑结构">'比较法-商业'!$B$105:$M$105</definedName>
    <definedName name="商业交易情况" localSheetId="46">'租金比较法-商业'!$A$61:$M$61</definedName>
    <definedName name="商业交易情况">'比较法-商业'!$A$61:$M$61</definedName>
    <definedName name="商业街名称">修正!$C$59:$C$119</definedName>
    <definedName name="商业进深比" localSheetId="46">'租金比较法-商业'!$B$120:$M$120</definedName>
    <definedName name="商业进深比">'比较法-商业'!$B$120:$M$120</definedName>
    <definedName name="商业类型" localSheetId="46">'租金比较法-商业'!$B$100:$M$100</definedName>
    <definedName name="商业类型">'比较法-商业'!$B$100:$M$100</definedName>
    <definedName name="商业临街状况" localSheetId="46">'租金比较法-商业'!$B$86:$M$86</definedName>
    <definedName name="商业临街状况">'比较法-商业'!$B$86:$M$86</definedName>
    <definedName name="商业楼层" localSheetId="46">'租金比较法-商业'!$B$92:$M$92</definedName>
    <definedName name="商业楼层">'比较法-商业'!$B$92:$M$92</definedName>
    <definedName name="商业内部装修" localSheetId="46">'租金比较法-商业'!$B$122:$M$122</definedName>
    <definedName name="商业内部装修">'比较法-商业'!$B$122:$M$122</definedName>
    <definedName name="商业人流量" localSheetId="46">'租金比较法-商业'!$B$90:$M$90</definedName>
    <definedName name="商业人流量">'比较法-商业'!$B$90:$M$90</definedName>
    <definedName name="商业业态" localSheetId="46">'租金比较法-商业'!$B$114:$M$114</definedName>
    <definedName name="商业业态">'比较法-商业'!$B$114:$M$114</definedName>
    <definedName name="商业用途" localSheetId="46">'租金比较法-商业'!$B$63:$M$63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6" i="1" l="1"/>
  <c r="E9" i="77"/>
  <c r="E8" i="77"/>
  <c r="C8" i="77"/>
  <c r="E4" i="77"/>
  <c r="E5" i="77" s="1"/>
  <c r="E6" i="77" s="1"/>
  <c r="E7" i="77" s="1"/>
  <c r="E3" i="77"/>
  <c r="K14" i="3" l="1"/>
  <c r="B8" i="77" l="1"/>
  <c r="C2" i="77"/>
  <c r="AH7" i="1" l="1"/>
  <c r="B2" i="49"/>
  <c r="B9" i="49" s="1"/>
  <c r="E4" i="4" s="1"/>
  <c r="B5" i="62" s="1"/>
  <c r="B73" i="72" s="1"/>
  <c r="M18" i="9"/>
  <c r="B118" i="9" s="1"/>
  <c r="D77" i="82"/>
  <c r="F15" i="82" s="1"/>
  <c r="AA15" i="82" s="1"/>
  <c r="D79" i="82"/>
  <c r="F17" i="82" s="1"/>
  <c r="D87" i="82"/>
  <c r="E87" i="82" s="1"/>
  <c r="H17" i="82"/>
  <c r="AB17" i="82" s="1"/>
  <c r="J15" i="82"/>
  <c r="AC15" i="82" s="1"/>
  <c r="J17" i="82"/>
  <c r="AC17" i="82" s="1"/>
  <c r="Q25" i="31"/>
  <c r="B3" i="83" s="1"/>
  <c r="Q26" i="31"/>
  <c r="B4" i="83" s="1"/>
  <c r="B2"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c r="F108" i="82" s="1"/>
  <c r="G108" i="82" s="1"/>
  <c r="H108" i="82" s="1"/>
  <c r="I108" i="82" s="1"/>
  <c r="J108" i="82" s="1"/>
  <c r="K108" i="82" s="1"/>
  <c r="L108" i="82" s="1"/>
  <c r="M108" i="82" s="1"/>
  <c r="D106" i="82"/>
  <c r="E106" i="82"/>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c r="G91" i="82" s="1"/>
  <c r="H91" i="82" s="1"/>
  <c r="I91" i="82" s="1"/>
  <c r="J91" i="82" s="1"/>
  <c r="K91" i="82" s="1"/>
  <c r="L91" i="82" s="1"/>
  <c r="M91" i="82" s="1"/>
  <c r="B90" i="82"/>
  <c r="B88" i="82"/>
  <c r="F87" i="82"/>
  <c r="G87" i="82" s="1"/>
  <c r="H87" i="82" s="1"/>
  <c r="I87" i="82" s="1"/>
  <c r="J87" i="82" s="1"/>
  <c r="K87" i="82" s="1"/>
  <c r="L87" i="82" s="1"/>
  <c r="M87" i="82" s="1"/>
  <c r="D85" i="82"/>
  <c r="E85" i="82" s="1"/>
  <c r="F85" i="82" s="1"/>
  <c r="G85" i="82" s="1"/>
  <c r="D83" i="82"/>
  <c r="E83" i="82" s="1"/>
  <c r="F83" i="82" s="1"/>
  <c r="G83" i="82" s="1"/>
  <c r="D81" i="82"/>
  <c r="E81" i="82"/>
  <c r="F81" i="82" s="1"/>
  <c r="G81" i="82" s="1"/>
  <c r="E79" i="82"/>
  <c r="F79" i="82" s="1"/>
  <c r="G79" i="82" s="1"/>
  <c r="E77" i="82"/>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c r="I66" i="82" s="1"/>
  <c r="C63" i="82"/>
  <c r="I54" i="82"/>
  <c r="J54" i="82"/>
  <c r="G54" i="82"/>
  <c r="H54" i="82"/>
  <c r="E54" i="82"/>
  <c r="F54" i="82"/>
  <c r="V47" i="82"/>
  <c r="J8" i="82"/>
  <c r="AC8" i="82" s="1"/>
  <c r="J9" i="82"/>
  <c r="AC9" i="82" s="1"/>
  <c r="J10" i="82"/>
  <c r="AC10" i="82" s="1"/>
  <c r="J11" i="82"/>
  <c r="AC11" i="82" s="1"/>
  <c r="J12" i="82"/>
  <c r="AC12" i="82" s="1"/>
  <c r="J13" i="82"/>
  <c r="AC13" i="82" s="1"/>
  <c r="J14" i="82"/>
  <c r="AC14" i="82" s="1"/>
  <c r="J19" i="82"/>
  <c r="AC19" i="82" s="1"/>
  <c r="J21" i="82"/>
  <c r="AC21" i="82" s="1"/>
  <c r="J23" i="82"/>
  <c r="AC23" i="82" s="1"/>
  <c r="J26" i="82"/>
  <c r="AC26" i="82" s="1"/>
  <c r="J27" i="82"/>
  <c r="AC27" i="82" s="1"/>
  <c r="J28" i="82"/>
  <c r="AC28" i="82" s="1"/>
  <c r="J29" i="82"/>
  <c r="AC29" i="82" s="1"/>
  <c r="J30" i="82"/>
  <c r="J31" i="82"/>
  <c r="AC31" i="82" s="1"/>
  <c r="J32" i="82"/>
  <c r="J33" i="82"/>
  <c r="AC33" i="82" s="1"/>
  <c r="J34" i="82"/>
  <c r="J35" i="82"/>
  <c r="AC35" i="82" s="1"/>
  <c r="J36" i="82"/>
  <c r="J37" i="82"/>
  <c r="AC37" i="82" s="1"/>
  <c r="J38" i="82"/>
  <c r="J39" i="82"/>
  <c r="AC39" i="82" s="1"/>
  <c r="J40" i="82"/>
  <c r="J41" i="82"/>
  <c r="AC41" i="82" s="1"/>
  <c r="J42" i="82"/>
  <c r="J43" i="82"/>
  <c r="AC43" i="82" s="1"/>
  <c r="J44" i="82"/>
  <c r="J45" i="82"/>
  <c r="AC45" i="82" s="1"/>
  <c r="J46" i="82"/>
  <c r="R47" i="82"/>
  <c r="F8" i="82"/>
  <c r="AA8" i="82" s="1"/>
  <c r="F9" i="82"/>
  <c r="AA9" i="82" s="1"/>
  <c r="F10" i="82"/>
  <c r="AA10" i="82" s="1"/>
  <c r="F11" i="82"/>
  <c r="AA11" i="82" s="1"/>
  <c r="F12" i="82"/>
  <c r="AA12" i="82" s="1"/>
  <c r="F13" i="82"/>
  <c r="AA13" i="82" s="1"/>
  <c r="F14" i="82"/>
  <c r="AA14" i="82" s="1"/>
  <c r="F19" i="82"/>
  <c r="AA19" i="82" s="1"/>
  <c r="F21" i="82"/>
  <c r="AA21" i="82" s="1"/>
  <c r="F23" i="82"/>
  <c r="AA23" i="82" s="1"/>
  <c r="F26" i="82"/>
  <c r="AA26" i="82" s="1"/>
  <c r="F27" i="82"/>
  <c r="AA27" i="82" s="1"/>
  <c r="F28" i="82"/>
  <c r="AA28" i="82" s="1"/>
  <c r="F29" i="82"/>
  <c r="AA29" i="82" s="1"/>
  <c r="F30" i="82"/>
  <c r="F31" i="82"/>
  <c r="AA31" i="82" s="1"/>
  <c r="F32" i="82"/>
  <c r="F33" i="82"/>
  <c r="AA33" i="82" s="1"/>
  <c r="F34" i="82"/>
  <c r="F35" i="82"/>
  <c r="AA35" i="82" s="1"/>
  <c r="F36" i="82"/>
  <c r="F37" i="82"/>
  <c r="AA37" i="82" s="1"/>
  <c r="F38" i="82"/>
  <c r="F39" i="82"/>
  <c r="AA39" i="82" s="1"/>
  <c r="F40" i="82"/>
  <c r="F41" i="82"/>
  <c r="AA41" i="82" s="1"/>
  <c r="F42" i="82"/>
  <c r="F43" i="82"/>
  <c r="AA43" i="82" s="1"/>
  <c r="F44" i="82"/>
  <c r="F45" i="82"/>
  <c r="AA45" i="82" s="1"/>
  <c r="F46" i="82"/>
  <c r="T47" i="82"/>
  <c r="H8" i="82"/>
  <c r="AB8" i="82" s="1"/>
  <c r="H9" i="82"/>
  <c r="AB9" i="82" s="1"/>
  <c r="H10" i="82"/>
  <c r="AB10" i="82" s="1"/>
  <c r="H11" i="82"/>
  <c r="AB11" i="82" s="1"/>
  <c r="H12" i="82"/>
  <c r="AB12" i="82" s="1"/>
  <c r="H13" i="82"/>
  <c r="AB13" i="82" s="1"/>
  <c r="H14" i="82"/>
  <c r="AB14" i="82" s="1"/>
  <c r="H19" i="82"/>
  <c r="AB19" i="82" s="1"/>
  <c r="H21" i="82"/>
  <c r="AB21" i="82" s="1"/>
  <c r="H23" i="82"/>
  <c r="AB23" i="82" s="1"/>
  <c r="H26" i="82"/>
  <c r="AB26" i="82" s="1"/>
  <c r="H27" i="82"/>
  <c r="AB27" i="82" s="1"/>
  <c r="H28" i="82"/>
  <c r="AB28" i="82" s="1"/>
  <c r="H29" i="82"/>
  <c r="AB29" i="82" s="1"/>
  <c r="H30" i="82"/>
  <c r="AB30" i="82" s="1"/>
  <c r="H31" i="82"/>
  <c r="H32" i="82"/>
  <c r="AB32" i="82" s="1"/>
  <c r="H33" i="82"/>
  <c r="H34" i="82"/>
  <c r="AB34" i="82" s="1"/>
  <c r="H35" i="82"/>
  <c r="H36" i="82"/>
  <c r="AB36" i="82" s="1"/>
  <c r="H37" i="82"/>
  <c r="H38" i="82"/>
  <c r="AB38" i="82" s="1"/>
  <c r="H39" i="82"/>
  <c r="H40" i="82"/>
  <c r="AB40" i="82" s="1"/>
  <c r="H41" i="82"/>
  <c r="H42" i="82"/>
  <c r="AB42" i="82" s="1"/>
  <c r="H43" i="82"/>
  <c r="H44" i="82"/>
  <c r="AB44" i="82" s="1"/>
  <c r="H45" i="82"/>
  <c r="H46" i="82"/>
  <c r="AB46" i="82" s="1"/>
  <c r="P49" i="82"/>
  <c r="P48" i="82"/>
  <c r="P47" i="82"/>
  <c r="Q46" i="82"/>
  <c r="Z46" i="82"/>
  <c r="U46" i="82"/>
  <c r="Q45" i="82"/>
  <c r="Z45" i="82" s="1"/>
  <c r="W45" i="82"/>
  <c r="S45" i="82"/>
  <c r="Q44" i="82"/>
  <c r="Z44" i="82"/>
  <c r="U44" i="82"/>
  <c r="Q43" i="82"/>
  <c r="Z43" i="82" s="1"/>
  <c r="W43" i="82"/>
  <c r="S43" i="82"/>
  <c r="Q42" i="82"/>
  <c r="Z42" i="82"/>
  <c r="U42" i="82"/>
  <c r="Q41" i="82"/>
  <c r="Z41" i="82" s="1"/>
  <c r="W41" i="82"/>
  <c r="S41" i="82"/>
  <c r="Q40" i="82"/>
  <c r="Z40" i="82"/>
  <c r="U40" i="82"/>
  <c r="Q39" i="82"/>
  <c r="Z39" i="82" s="1"/>
  <c r="W39" i="82"/>
  <c r="S39" i="82"/>
  <c r="Q38" i="82"/>
  <c r="Z38" i="82"/>
  <c r="U38" i="82"/>
  <c r="Q37" i="82"/>
  <c r="Z37" i="82" s="1"/>
  <c r="W37" i="82"/>
  <c r="S37" i="82"/>
  <c r="Q36" i="82"/>
  <c r="Z36" i="82"/>
  <c r="U36" i="82"/>
  <c r="Q35" i="82"/>
  <c r="Z35" i="82" s="1"/>
  <c r="W35" i="82"/>
  <c r="S35" i="82"/>
  <c r="Q34" i="82"/>
  <c r="Z34" i="82"/>
  <c r="U34" i="82"/>
  <c r="Q33" i="82"/>
  <c r="Z33" i="82" s="1"/>
  <c r="W33" i="82"/>
  <c r="S33" i="82"/>
  <c r="Q32" i="82"/>
  <c r="Z32" i="82"/>
  <c r="U32" i="82"/>
  <c r="Q31" i="82"/>
  <c r="Z31" i="82" s="1"/>
  <c r="W31" i="82"/>
  <c r="S31" i="82"/>
  <c r="Q30" i="82"/>
  <c r="Z30" i="82"/>
  <c r="U30" i="82"/>
  <c r="Q29" i="82"/>
  <c r="Z29" i="82"/>
  <c r="W29" i="82"/>
  <c r="U29" i="82"/>
  <c r="S29" i="82"/>
  <c r="Q28" i="82"/>
  <c r="Z28" i="82" s="1"/>
  <c r="W28" i="82"/>
  <c r="U28" i="82"/>
  <c r="S28" i="82"/>
  <c r="Q27" i="82"/>
  <c r="Z27" i="82"/>
  <c r="W27" i="82"/>
  <c r="U27" i="82"/>
  <c r="S27" i="82"/>
  <c r="Q26" i="82"/>
  <c r="Z26" i="82" s="1"/>
  <c r="W26" i="82"/>
  <c r="U26" i="82"/>
  <c r="S26" i="82"/>
  <c r="Q25" i="82"/>
  <c r="Z25" i="82"/>
  <c r="Q23" i="82"/>
  <c r="Z23" i="82" s="1"/>
  <c r="W23" i="82"/>
  <c r="U23" i="82"/>
  <c r="S23" i="82"/>
  <c r="C23" i="82"/>
  <c r="Q21" i="82"/>
  <c r="Z21" i="82" s="1"/>
  <c r="W21" i="82"/>
  <c r="U21" i="82"/>
  <c r="S21" i="82"/>
  <c r="C21" i="82"/>
  <c r="Q19" i="82"/>
  <c r="Z19" i="82" s="1"/>
  <c r="W19" i="82"/>
  <c r="U19" i="82"/>
  <c r="S19" i="82"/>
  <c r="C19" i="82"/>
  <c r="Q17" i="82"/>
  <c r="Z17" i="82" s="1"/>
  <c r="W17" i="82"/>
  <c r="C17" i="82"/>
  <c r="Q15" i="82"/>
  <c r="Z15" i="82" s="1"/>
  <c r="S15" i="82"/>
  <c r="C15" i="82"/>
  <c r="Q14" i="82"/>
  <c r="Z14" i="82" s="1"/>
  <c r="W14" i="82"/>
  <c r="U14" i="82"/>
  <c r="S14" i="82"/>
  <c r="Q13" i="82"/>
  <c r="Z13" i="82"/>
  <c r="W13" i="82"/>
  <c r="U13" i="82"/>
  <c r="S13" i="82"/>
  <c r="Q12" i="82"/>
  <c r="Z12" i="82" s="1"/>
  <c r="W12" i="82"/>
  <c r="U12" i="82"/>
  <c r="S12" i="82"/>
  <c r="Q11" i="82"/>
  <c r="Z11" i="82"/>
  <c r="W11" i="82"/>
  <c r="U11" i="82"/>
  <c r="S11" i="82"/>
  <c r="Q10" i="82"/>
  <c r="Z10" i="82" s="1"/>
  <c r="W10" i="82"/>
  <c r="U10" i="82"/>
  <c r="S10" i="82"/>
  <c r="Q9" i="82"/>
  <c r="Z9" i="82"/>
  <c r="W9" i="82"/>
  <c r="U9" i="82"/>
  <c r="S9" i="82"/>
  <c r="W8" i="82"/>
  <c r="U8" i="82"/>
  <c r="S8" i="82"/>
  <c r="D3" i="82"/>
  <c r="R47" i="33"/>
  <c r="C63" i="33"/>
  <c r="F9" i="33" s="1"/>
  <c r="AA9" i="33" s="1"/>
  <c r="F10" i="33"/>
  <c r="AA10" i="33"/>
  <c r="F11" i="33"/>
  <c r="AA11" i="33"/>
  <c r="D79" i="33"/>
  <c r="F17" i="33"/>
  <c r="AA17" i="33" s="1"/>
  <c r="F19" i="33"/>
  <c r="AA19" i="33" s="1"/>
  <c r="F21" i="33"/>
  <c r="AA21" i="33" s="1"/>
  <c r="D87" i="33"/>
  <c r="E87" i="33" s="1"/>
  <c r="D91" i="33"/>
  <c r="F35" i="33"/>
  <c r="AA35" i="33"/>
  <c r="D111" i="33"/>
  <c r="E111" i="33" s="1"/>
  <c r="F37" i="33"/>
  <c r="AA37" i="33" s="1"/>
  <c r="F41" i="33"/>
  <c r="AA41" i="33" s="1"/>
  <c r="F33" i="33"/>
  <c r="AA33" i="33" s="1"/>
  <c r="T47" i="33"/>
  <c r="H9" i="33"/>
  <c r="AB9" i="33" s="1"/>
  <c r="H10" i="33"/>
  <c r="AB10" i="33" s="1"/>
  <c r="H11" i="33"/>
  <c r="AB11" i="33" s="1"/>
  <c r="H17" i="33"/>
  <c r="AB17" i="33" s="1"/>
  <c r="H19" i="33"/>
  <c r="AB19" i="33" s="1"/>
  <c r="H21" i="33"/>
  <c r="AB21" i="33" s="1"/>
  <c r="H25" i="33"/>
  <c r="AB25" i="33" s="1"/>
  <c r="H35" i="33"/>
  <c r="AB35" i="33" s="1"/>
  <c r="H37" i="33"/>
  <c r="AB37" i="33" s="1"/>
  <c r="H41" i="33"/>
  <c r="AB41" i="33" s="1"/>
  <c r="H33" i="33"/>
  <c r="AB33" i="33" s="1"/>
  <c r="V47" i="33"/>
  <c r="J9" i="33"/>
  <c r="AC9" i="33" s="1"/>
  <c r="J10" i="33"/>
  <c r="AC10" i="33" s="1"/>
  <c r="J11" i="33"/>
  <c r="AC11" i="33" s="1"/>
  <c r="J17" i="33"/>
  <c r="AC17" i="33" s="1"/>
  <c r="J19" i="33"/>
  <c r="AC19" i="33" s="1"/>
  <c r="J21" i="33"/>
  <c r="AC21" i="33" s="1"/>
  <c r="J25" i="33"/>
  <c r="AC25" i="33" s="1"/>
  <c r="J35" i="33"/>
  <c r="AC35" i="33"/>
  <c r="J37" i="33"/>
  <c r="AC37" i="33"/>
  <c r="J41" i="33"/>
  <c r="AC41" i="33"/>
  <c r="J33" i="33"/>
  <c r="AC33" i="33" s="1"/>
  <c r="K13" i="3"/>
  <c r="F19" i="6"/>
  <c r="I13" i="3" s="1"/>
  <c r="BC15" i="3"/>
  <c r="A6" i="1"/>
  <c r="A7" i="1"/>
  <c r="F15" i="79"/>
  <c r="F17" i="79"/>
  <c r="F18" i="79"/>
  <c r="F20" i="79"/>
  <c r="B22" i="1"/>
  <c r="E1" i="73" s="1"/>
  <c r="K1" i="73" s="1"/>
  <c r="F23" i="79"/>
  <c r="F21" i="79"/>
  <c r="B43" i="1"/>
  <c r="B41" i="1"/>
  <c r="F28" i="79" s="1"/>
  <c r="Y6" i="1"/>
  <c r="M47" i="79"/>
  <c r="G1" i="15"/>
  <c r="M47" i="15"/>
  <c r="J50" i="79"/>
  <c r="D6" i="1"/>
  <c r="Q72" i="79"/>
  <c r="L19" i="6"/>
  <c r="H15" i="3"/>
  <c r="L20" i="6"/>
  <c r="B52" i="1"/>
  <c r="F34" i="79"/>
  <c r="F62" i="79" s="1"/>
  <c r="C62" i="79"/>
  <c r="F33" i="79"/>
  <c r="F61" i="79" s="1"/>
  <c r="C61" i="79"/>
  <c r="F32" i="79"/>
  <c r="F60" i="79"/>
  <c r="C60" i="79"/>
  <c r="Q59" i="79"/>
  <c r="Q58" i="79"/>
  <c r="Q51" i="79"/>
  <c r="D46" i="79"/>
  <c r="C34" i="79"/>
  <c r="C33" i="79"/>
  <c r="C32" i="79"/>
  <c r="D24" i="79"/>
  <c r="D23" i="79"/>
  <c r="D22" i="79"/>
  <c r="M20" i="79"/>
  <c r="M19" i="79"/>
  <c r="M18" i="79"/>
  <c r="E3" i="78"/>
  <c r="B3" i="78"/>
  <c r="B1" i="78"/>
  <c r="F9" i="78"/>
  <c r="F10" i="78"/>
  <c r="C16" i="78" s="1"/>
  <c r="B16" i="78"/>
  <c r="B13" i="78"/>
  <c r="C5" i="78"/>
  <c r="D5" i="78" s="1"/>
  <c r="C4" i="78"/>
  <c r="D4" i="78" s="1"/>
  <c r="C3" i="78"/>
  <c r="D3" i="78" s="1"/>
  <c r="C3" i="77"/>
  <c r="D3" i="4"/>
  <c r="B2" i="1" s="1"/>
  <c r="D116" i="39"/>
  <c r="E116" i="39"/>
  <c r="F116" i="39"/>
  <c r="G116" i="39"/>
  <c r="H116" i="39"/>
  <c r="I116" i="39"/>
  <c r="J116" i="39"/>
  <c r="K116" i="39"/>
  <c r="L116" i="39"/>
  <c r="M116" i="39"/>
  <c r="C116" i="39"/>
  <c r="A21" i="62"/>
  <c r="A20" i="62"/>
  <c r="B66" i="72" s="1"/>
  <c r="A22" i="51"/>
  <c r="A21" i="51"/>
  <c r="B16" i="72" s="1"/>
  <c r="A20" i="51"/>
  <c r="H105" i="9"/>
  <c r="H106" i="9"/>
  <c r="H103" i="9"/>
  <c r="D120" i="9" s="1"/>
  <c r="K120" i="9" s="1"/>
  <c r="A18" i="62" s="1"/>
  <c r="A120" i="9"/>
  <c r="L20" i="4"/>
  <c r="L21" i="4"/>
  <c r="L22" i="4"/>
  <c r="A15" i="62" s="1"/>
  <c r="B61" i="72" s="1"/>
  <c r="A14" i="62"/>
  <c r="A13" i="62"/>
  <c r="A2" i="53"/>
  <c r="A19" i="62"/>
  <c r="A12" i="62"/>
  <c r="H2" i="52"/>
  <c r="A1" i="52"/>
  <c r="A3" i="53"/>
  <c r="L5" i="71"/>
  <c r="Q5" i="71"/>
  <c r="K5" i="71"/>
  <c r="P5" i="71"/>
  <c r="J5" i="71"/>
  <c r="O5" i="71"/>
  <c r="I5" i="71"/>
  <c r="N5"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s="1"/>
  <c r="AG4" i="71"/>
  <c r="AH4"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65" i="72"/>
  <c r="B60" i="72"/>
  <c r="B59" i="72"/>
  <c r="B58" i="72"/>
  <c r="B67" i="72"/>
  <c r="B12" i="72"/>
  <c r="B10" i="72"/>
  <c r="C53" i="10"/>
  <c r="B51" i="10"/>
  <c r="B19" i="72"/>
  <c r="A18" i="51"/>
  <c r="B13" i="72"/>
  <c r="C8" i="68"/>
  <c r="B49" i="48"/>
  <c r="B5" i="72" s="1"/>
  <c r="I19" i="43"/>
  <c r="D68" i="71"/>
  <c r="F67" i="71"/>
  <c r="F66" i="71" s="1"/>
  <c r="F65" i="71" s="1"/>
  <c r="E67" i="71"/>
  <c r="E66" i="71"/>
  <c r="E65" i="71" s="1"/>
  <c r="C67" i="71"/>
  <c r="D67" i="71" s="1"/>
  <c r="B67" i="71"/>
  <c r="B66" i="71" s="1"/>
  <c r="B65" i="71" s="1"/>
  <c r="D64" i="71"/>
  <c r="F63" i="71"/>
  <c r="F62" i="71" s="1"/>
  <c r="F61" i="71" s="1"/>
  <c r="E63" i="71"/>
  <c r="E62" i="71"/>
  <c r="E61" i="71" s="1"/>
  <c r="C63" i="71"/>
  <c r="D63" i="71" s="1"/>
  <c r="B63" i="71"/>
  <c r="B62" i="71" s="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c r="E47" i="71"/>
  <c r="P47" i="71"/>
  <c r="C47" i="71"/>
  <c r="B47" i="71"/>
  <c r="S47" i="71" s="1"/>
  <c r="F46" i="71"/>
  <c r="F45" i="71" s="1"/>
  <c r="Q45"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O36" i="71"/>
  <c r="C37" i="71"/>
  <c r="N36" i="71"/>
  <c r="B37" i="71"/>
  <c r="B38" i="71" s="1"/>
  <c r="B39" i="71" s="1"/>
  <c r="S39" i="71" s="1"/>
  <c r="D36" i="71"/>
  <c r="Q35" i="71"/>
  <c r="P35" i="71"/>
  <c r="O35" i="71"/>
  <c r="N35" i="71"/>
  <c r="Q34" i="71"/>
  <c r="P34" i="71"/>
  <c r="O34" i="71"/>
  <c r="N34" i="71"/>
  <c r="Q33" i="71"/>
  <c r="P33" i="71"/>
  <c r="O33" i="71"/>
  <c r="N33" i="71"/>
  <c r="O32" i="71"/>
  <c r="C33" i="71"/>
  <c r="Q32" i="71"/>
  <c r="F33" i="71"/>
  <c r="F34" i="71" s="1"/>
  <c r="F35" i="71" s="1"/>
  <c r="V35" i="71" s="1"/>
  <c r="P32" i="71"/>
  <c r="E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T27" i="71"/>
  <c r="Q27" i="71"/>
  <c r="P27" i="71"/>
  <c r="O27" i="71"/>
  <c r="N27" i="71"/>
  <c r="D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Q22" i="71"/>
  <c r="P22" i="71"/>
  <c r="O22" i="71"/>
  <c r="N22" i="71"/>
  <c r="Q21" i="71"/>
  <c r="P21" i="71"/>
  <c r="O21" i="71"/>
  <c r="N21" i="71"/>
  <c r="Q20" i="71"/>
  <c r="F21" i="71"/>
  <c r="F22" i="71" s="1"/>
  <c r="F23" i="71" s="1"/>
  <c r="V23" i="71" s="1"/>
  <c r="P20" i="71"/>
  <c r="E21" i="71" s="1"/>
  <c r="E22" i="71" s="1"/>
  <c r="E23" i="71" s="1"/>
  <c r="U23" i="71" s="1"/>
  <c r="O20" i="71"/>
  <c r="C21" i="71"/>
  <c r="N20" i="71"/>
  <c r="B21" i="71"/>
  <c r="B22" i="71" s="1"/>
  <c r="B23" i="71" s="1"/>
  <c r="S23" i="71" s="1"/>
  <c r="D20" i="71"/>
  <c r="Q19" i="71"/>
  <c r="P19" i="71"/>
  <c r="O19" i="71"/>
  <c r="N19" i="71"/>
  <c r="Q18" i="71"/>
  <c r="AB18" i="71"/>
  <c r="P18" i="71"/>
  <c r="AA18" i="71"/>
  <c r="O18" i="71"/>
  <c r="Y18" i="71"/>
  <c r="Z18" i="71" s="1"/>
  <c r="N18" i="71"/>
  <c r="X18" i="71" s="1"/>
  <c r="Q17" i="71"/>
  <c r="AB17" i="71" s="1"/>
  <c r="P17" i="71"/>
  <c r="O17" i="71"/>
  <c r="Y17" i="71" s="1"/>
  <c r="Z17" i="71" s="1"/>
  <c r="N17" i="71"/>
  <c r="Q16" i="71"/>
  <c r="F17" i="71"/>
  <c r="F18" i="71" s="1"/>
  <c r="F19" i="71" s="1"/>
  <c r="V19" i="71" s="1"/>
  <c r="P16" i="71"/>
  <c r="O16" i="71"/>
  <c r="N16" i="71"/>
  <c r="B17" i="71" s="1"/>
  <c r="B18" i="71" s="1"/>
  <c r="B19" i="71" s="1"/>
  <c r="S19" i="71" s="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c r="F14" i="71" s="1"/>
  <c r="F15" i="71" s="1"/>
  <c r="V15" i="71" s="1"/>
  <c r="P12" i="71"/>
  <c r="AA10" i="71" s="1"/>
  <c r="O12" i="71"/>
  <c r="N12" i="71"/>
  <c r="D12" i="71"/>
  <c r="Q11" i="71"/>
  <c r="AB11" i="71" s="1"/>
  <c r="P11" i="71"/>
  <c r="O11" i="71"/>
  <c r="Y11" i="71"/>
  <c r="Z11" i="71" s="1"/>
  <c r="N11" i="71"/>
  <c r="X10" i="71" s="1"/>
  <c r="Q10" i="71"/>
  <c r="AB10" i="71"/>
  <c r="P10" i="71"/>
  <c r="O10" i="71"/>
  <c r="Y10" i="71" s="1"/>
  <c r="Z10" i="71" s="1"/>
  <c r="N10" i="71"/>
  <c r="Q9" i="71"/>
  <c r="P9" i="71"/>
  <c r="O9" i="71"/>
  <c r="Y9" i="71"/>
  <c r="Z9" i="71" s="1"/>
  <c r="N9" i="71"/>
  <c r="Q8" i="71"/>
  <c r="F9" i="71"/>
  <c r="F10" i="71" s="1"/>
  <c r="F11" i="71"/>
  <c r="V11" i="71" s="1"/>
  <c r="P8" i="71"/>
  <c r="O8" i="71"/>
  <c r="N8" i="71"/>
  <c r="D8" i="71"/>
  <c r="O7" i="71"/>
  <c r="N7" i="71"/>
  <c r="B9" i="71"/>
  <c r="B10" i="71" s="1"/>
  <c r="B11" i="71"/>
  <c r="S11" i="71" s="1"/>
  <c r="B13" i="71"/>
  <c r="B14" i="71" s="1"/>
  <c r="B15" i="71" s="1"/>
  <c r="S15" i="71" s="1"/>
  <c r="X12" i="71"/>
  <c r="X16" i="71"/>
  <c r="E17" i="71"/>
  <c r="E18" i="71" s="1"/>
  <c r="E19" i="71" s="1"/>
  <c r="U19" i="71" s="1"/>
  <c r="AA16" i="71"/>
  <c r="N47" i="71"/>
  <c r="E13" i="71"/>
  <c r="E14" i="71" s="1"/>
  <c r="E15" i="71" s="1"/>
  <c r="U15" i="71" s="1"/>
  <c r="AA12" i="71"/>
  <c r="C9" i="71"/>
  <c r="Y8" i="71"/>
  <c r="Z8" i="71" s="1"/>
  <c r="AA9" i="71"/>
  <c r="X11" i="71"/>
  <c r="C13" i="71"/>
  <c r="C14" i="71" s="1"/>
  <c r="Y12" i="71"/>
  <c r="Z12" i="71" s="1"/>
  <c r="AB12" i="71"/>
  <c r="X13" i="71"/>
  <c r="AA13" i="71"/>
  <c r="X14" i="71"/>
  <c r="AA14" i="71"/>
  <c r="X15" i="71"/>
  <c r="AA15" i="71"/>
  <c r="C17" i="71"/>
  <c r="Y16" i="71"/>
  <c r="Z16" i="71" s="1"/>
  <c r="AB16" i="71"/>
  <c r="X17" i="71"/>
  <c r="AA17" i="71"/>
  <c r="C7" i="71"/>
  <c r="T7" i="71" s="1"/>
  <c r="B7" i="71"/>
  <c r="B6" i="71"/>
  <c r="B5" i="71" s="1"/>
  <c r="X4" i="71"/>
  <c r="X6" i="71"/>
  <c r="X7" i="71"/>
  <c r="C10" i="71"/>
  <c r="D9" i="71"/>
  <c r="C18" i="71"/>
  <c r="D18" i="71" s="1"/>
  <c r="D17" i="71"/>
  <c r="C22" i="71"/>
  <c r="D22" i="71" s="1"/>
  <c r="D21" i="71"/>
  <c r="C26" i="71"/>
  <c r="D26" i="71" s="1"/>
  <c r="D25" i="71"/>
  <c r="C30" i="71"/>
  <c r="D29" i="71"/>
  <c r="P7" i="71"/>
  <c r="E34" i="71"/>
  <c r="E35" i="71" s="1"/>
  <c r="U35" i="71" s="1"/>
  <c r="E38" i="71"/>
  <c r="E39" i="71"/>
  <c r="U39" i="71" s="1"/>
  <c r="E42" i="71"/>
  <c r="E43" i="71" s="1"/>
  <c r="U43" i="71" s="1"/>
  <c r="Q44" i="71"/>
  <c r="U47" i="71"/>
  <c r="E46" i="71"/>
  <c r="Q7" i="71"/>
  <c r="AB3" i="71" s="1"/>
  <c r="C34" i="71"/>
  <c r="D33" i="71"/>
  <c r="C38" i="71"/>
  <c r="D37" i="71"/>
  <c r="C42" i="71"/>
  <c r="D41" i="71"/>
  <c r="Q46" i="71"/>
  <c r="T47" i="71"/>
  <c r="O47" i="71"/>
  <c r="D47" i="71"/>
  <c r="C46" i="71"/>
  <c r="Q47" i="71"/>
  <c r="C50" i="71"/>
  <c r="E50" i="71"/>
  <c r="E49" i="71" s="1"/>
  <c r="D51" i="71"/>
  <c r="C54" i="71"/>
  <c r="E54" i="71"/>
  <c r="E53" i="71" s="1"/>
  <c r="D55" i="71"/>
  <c r="C58" i="71"/>
  <c r="E58" i="71"/>
  <c r="E57" i="71" s="1"/>
  <c r="D59" i="71"/>
  <c r="C62" i="71"/>
  <c r="C66" i="71"/>
  <c r="D66" i="71" s="1"/>
  <c r="C6" i="71"/>
  <c r="S7" i="71"/>
  <c r="F7" i="71"/>
  <c r="F6" i="71" s="1"/>
  <c r="F5" i="71" s="1"/>
  <c r="AB4" i="71"/>
  <c r="AB6" i="71"/>
  <c r="E7" i="71"/>
  <c r="E6" i="71" s="1"/>
  <c r="E5" i="71" s="1"/>
  <c r="AA3" i="71"/>
  <c r="AA4" i="71"/>
  <c r="AA5" i="71"/>
  <c r="AA6" i="71"/>
  <c r="AA7" i="71"/>
  <c r="D7" i="71"/>
  <c r="U7" i="71" s="1"/>
  <c r="C45" i="71"/>
  <c r="D45" i="71" s="1"/>
  <c r="O46" i="71"/>
  <c r="D46" i="71"/>
  <c r="C43" i="71"/>
  <c r="D42" i="71"/>
  <c r="D62" i="71"/>
  <c r="C61" i="71"/>
  <c r="D61" i="71" s="1"/>
  <c r="D54" i="71"/>
  <c r="C53" i="71"/>
  <c r="D53" i="71"/>
  <c r="C65" i="71"/>
  <c r="D65" i="71" s="1"/>
  <c r="D58" i="71"/>
  <c r="C57" i="71"/>
  <c r="D57" i="71"/>
  <c r="D50" i="71"/>
  <c r="C49" i="71"/>
  <c r="D49" i="71" s="1"/>
  <c r="C39" i="71"/>
  <c r="T39" i="71" s="1"/>
  <c r="D38" i="71"/>
  <c r="C35" i="71"/>
  <c r="T35" i="71" s="1"/>
  <c r="D34" i="71"/>
  <c r="P46" i="71"/>
  <c r="E45" i="71"/>
  <c r="C31" i="71"/>
  <c r="T31" i="71" s="1"/>
  <c r="D30" i="71"/>
  <c r="C23" i="71"/>
  <c r="T23" i="71" s="1"/>
  <c r="C19" i="71"/>
  <c r="T19" i="71" s="1"/>
  <c r="C11" i="71"/>
  <c r="T11" i="71" s="1"/>
  <c r="D10" i="71"/>
  <c r="C5" i="71"/>
  <c r="D5" i="71" s="1"/>
  <c r="D6" i="71"/>
  <c r="P44" i="71"/>
  <c r="P45" i="71"/>
  <c r="O45" i="71"/>
  <c r="O44" i="71"/>
  <c r="D11" i="71"/>
  <c r="D19" i="71"/>
  <c r="D23" i="71"/>
  <c r="D31" i="71"/>
  <c r="D35" i="71"/>
  <c r="D39" i="71"/>
  <c r="T43" i="71"/>
  <c r="D4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s="1"/>
  <c r="BR13" i="3"/>
  <c r="BR5" i="3" s="1"/>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5" i="3" s="1"/>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1" i="6"/>
  <c r="E22" i="6"/>
  <c r="E23" i="6"/>
  <c r="E24" i="6"/>
  <c r="E25" i="6"/>
  <c r="E26" i="6"/>
  <c r="BD13" i="3"/>
  <c r="BE13" i="3"/>
  <c r="BF13" i="3"/>
  <c r="BG13" i="3"/>
  <c r="BH13" i="3"/>
  <c r="BI13" i="3"/>
  <c r="BJ13" i="3"/>
  <c r="BK13" i="3"/>
  <c r="BD14" i="3"/>
  <c r="BE14" i="3"/>
  <c r="BF14" i="3"/>
  <c r="BG14" i="3"/>
  <c r="BH14" i="3"/>
  <c r="BI14" i="3"/>
  <c r="BJ14" i="3"/>
  <c r="BK14" i="3"/>
  <c r="BB15" i="3"/>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A17" i="3"/>
  <c r="BB18" i="3"/>
  <c r="BC18" i="3"/>
  <c r="BA18" i="3" s="1"/>
  <c r="BD18" i="3"/>
  <c r="BE18" i="3"/>
  <c r="BF18" i="3"/>
  <c r="BG18" i="3"/>
  <c r="BH18" i="3"/>
  <c r="BI18" i="3"/>
  <c r="BJ18" i="3"/>
  <c r="BK18" i="3"/>
  <c r="BB19" i="3"/>
  <c r="BC19" i="3"/>
  <c r="BD19" i="3"/>
  <c r="BE19" i="3"/>
  <c r="BF19" i="3"/>
  <c r="BG19" i="3"/>
  <c r="BH19" i="3"/>
  <c r="BI19" i="3"/>
  <c r="BJ19" i="3"/>
  <c r="BK19" i="3"/>
  <c r="BA19" i="3"/>
  <c r="BB20" i="3"/>
  <c r="BC20" i="3"/>
  <c r="BA20" i="3" s="1"/>
  <c r="BD20" i="3"/>
  <c r="BE20" i="3"/>
  <c r="BF20" i="3"/>
  <c r="BG20" i="3"/>
  <c r="BH20" i="3"/>
  <c r="BI20" i="3"/>
  <c r="BJ20" i="3"/>
  <c r="BK20" i="3"/>
  <c r="BB21" i="3"/>
  <c r="BC21" i="3"/>
  <c r="BD21" i="3"/>
  <c r="BE21" i="3"/>
  <c r="BF21" i="3"/>
  <c r="BG21" i="3"/>
  <c r="BH21" i="3"/>
  <c r="BI21" i="3"/>
  <c r="BJ21" i="3"/>
  <c r="BK21" i="3"/>
  <c r="BA21" i="3"/>
  <c r="BB22" i="3"/>
  <c r="BC22" i="3"/>
  <c r="BA22" i="3" s="1"/>
  <c r="BD22" i="3"/>
  <c r="BE22" i="3"/>
  <c r="BF22" i="3"/>
  <c r="BG22" i="3"/>
  <c r="BH22" i="3"/>
  <c r="BI22" i="3"/>
  <c r="BJ22" i="3"/>
  <c r="BK22" i="3"/>
  <c r="BB23" i="3"/>
  <c r="BC23" i="3"/>
  <c r="BD23" i="3"/>
  <c r="BE23" i="3"/>
  <c r="BF23" i="3"/>
  <c r="BG23" i="3"/>
  <c r="BH23" i="3"/>
  <c r="BI23" i="3"/>
  <c r="BJ23" i="3"/>
  <c r="BK23" i="3"/>
  <c r="BA23" i="3"/>
  <c r="BB24" i="3"/>
  <c r="BC24" i="3"/>
  <c r="BA24" i="3" s="1"/>
  <c r="BD24" i="3"/>
  <c r="BE24" i="3"/>
  <c r="BF24" i="3"/>
  <c r="BG24" i="3"/>
  <c r="BH24" i="3"/>
  <c r="BI24" i="3"/>
  <c r="BJ24" i="3"/>
  <c r="BK24" i="3"/>
  <c r="BB25" i="3"/>
  <c r="BC25" i="3"/>
  <c r="BD25" i="3"/>
  <c r="BE25" i="3"/>
  <c r="BF25" i="3"/>
  <c r="BG25" i="3"/>
  <c r="BH25" i="3"/>
  <c r="BI25" i="3"/>
  <c r="BJ25" i="3"/>
  <c r="BK25" i="3"/>
  <c r="BA25" i="3"/>
  <c r="BB26" i="3"/>
  <c r="BC26" i="3"/>
  <c r="BA26" i="3" s="1"/>
  <c r="BD26" i="3"/>
  <c r="BE26" i="3"/>
  <c r="BF26" i="3"/>
  <c r="BG26" i="3"/>
  <c r="BH26" i="3"/>
  <c r="BI26" i="3"/>
  <c r="BJ26" i="3"/>
  <c r="BK26" i="3"/>
  <c r="BB27" i="3"/>
  <c r="BC27" i="3"/>
  <c r="BD27" i="3"/>
  <c r="BE27" i="3"/>
  <c r="BF27" i="3"/>
  <c r="BG27" i="3"/>
  <c r="BH27" i="3"/>
  <c r="BI27" i="3"/>
  <c r="BJ27" i="3"/>
  <c r="BK27" i="3"/>
  <c r="BA27" i="3"/>
  <c r="BB28" i="3"/>
  <c r="BC28" i="3"/>
  <c r="BA28" i="3" s="1"/>
  <c r="BD28" i="3"/>
  <c r="BE28" i="3"/>
  <c r="BF28" i="3"/>
  <c r="BG28" i="3"/>
  <c r="BH28" i="3"/>
  <c r="BI28" i="3"/>
  <c r="BJ28" i="3"/>
  <c r="BK28" i="3"/>
  <c r="BB29" i="3"/>
  <c r="BC29" i="3"/>
  <c r="BD29" i="3"/>
  <c r="BE29" i="3"/>
  <c r="BF29" i="3"/>
  <c r="BG29" i="3"/>
  <c r="BH29" i="3"/>
  <c r="BI29" i="3"/>
  <c r="BJ29" i="3"/>
  <c r="BK29" i="3"/>
  <c r="BA29" i="3"/>
  <c r="BB30" i="3"/>
  <c r="BC30" i="3"/>
  <c r="BA30" i="3" s="1"/>
  <c r="BD30" i="3"/>
  <c r="BE30" i="3"/>
  <c r="BF30" i="3"/>
  <c r="BG30" i="3"/>
  <c r="BH30" i="3"/>
  <c r="BI30" i="3"/>
  <c r="BJ30" i="3"/>
  <c r="BK30" i="3"/>
  <c r="BB31" i="3"/>
  <c r="BC31" i="3"/>
  <c r="BD31" i="3"/>
  <c r="BE31" i="3"/>
  <c r="BF31" i="3"/>
  <c r="BG31" i="3"/>
  <c r="BH31" i="3"/>
  <c r="BI31" i="3"/>
  <c r="BJ31" i="3"/>
  <c r="BK31" i="3"/>
  <c r="BA31" i="3"/>
  <c r="BB32" i="3"/>
  <c r="BC32" i="3"/>
  <c r="BA32" i="3" s="1"/>
  <c r="BD32" i="3"/>
  <c r="BE32" i="3"/>
  <c r="BF32" i="3"/>
  <c r="BG32" i="3"/>
  <c r="BH32" i="3"/>
  <c r="BI32" i="3"/>
  <c r="BJ32" i="3"/>
  <c r="BK32" i="3"/>
  <c r="BB33" i="3"/>
  <c r="BC33" i="3"/>
  <c r="BD33" i="3"/>
  <c r="BE33" i="3"/>
  <c r="BF33" i="3"/>
  <c r="BG33" i="3"/>
  <c r="BH33" i="3"/>
  <c r="BI33" i="3"/>
  <c r="BJ33" i="3"/>
  <c r="BK33" i="3"/>
  <c r="BA33" i="3"/>
  <c r="BB34" i="3"/>
  <c r="BC34" i="3"/>
  <c r="BA34" i="3" s="1"/>
  <c r="BD34" i="3"/>
  <c r="BE34" i="3"/>
  <c r="BF34" i="3"/>
  <c r="BG34" i="3"/>
  <c r="BH34" i="3"/>
  <c r="BI34" i="3"/>
  <c r="BJ34" i="3"/>
  <c r="BK34" i="3"/>
  <c r="BB35" i="3"/>
  <c r="BC35" i="3"/>
  <c r="BD35" i="3"/>
  <c r="BE35" i="3"/>
  <c r="BF35" i="3"/>
  <c r="BG35" i="3"/>
  <c r="BH35" i="3"/>
  <c r="BI35" i="3"/>
  <c r="BJ35" i="3"/>
  <c r="BK35" i="3"/>
  <c r="BA35" i="3"/>
  <c r="BB36" i="3"/>
  <c r="BC36" i="3"/>
  <c r="BA36" i="3" s="1"/>
  <c r="BD36" i="3"/>
  <c r="BE36" i="3"/>
  <c r="BF36" i="3"/>
  <c r="BG36" i="3"/>
  <c r="BH36" i="3"/>
  <c r="BI36" i="3"/>
  <c r="BJ36" i="3"/>
  <c r="BK36" i="3"/>
  <c r="BB37" i="3"/>
  <c r="BC37" i="3"/>
  <c r="BD37" i="3"/>
  <c r="BE37" i="3"/>
  <c r="BF37" i="3"/>
  <c r="BG37" i="3"/>
  <c r="BH37" i="3"/>
  <c r="BI37" i="3"/>
  <c r="BJ37" i="3"/>
  <c r="BK37" i="3"/>
  <c r="BA37" i="3"/>
  <c r="BB38" i="3"/>
  <c r="BC38" i="3"/>
  <c r="BA38" i="3" s="1"/>
  <c r="BD38" i="3"/>
  <c r="BE38" i="3"/>
  <c r="BF38" i="3"/>
  <c r="BG38" i="3"/>
  <c r="BH38" i="3"/>
  <c r="BI38" i="3"/>
  <c r="BJ38" i="3"/>
  <c r="BK38" i="3"/>
  <c r="BB39" i="3"/>
  <c r="BC39" i="3"/>
  <c r="BD39" i="3"/>
  <c r="BE39" i="3"/>
  <c r="BF39" i="3"/>
  <c r="BG39" i="3"/>
  <c r="BH39" i="3"/>
  <c r="BI39" i="3"/>
  <c r="BJ39" i="3"/>
  <c r="BK39" i="3"/>
  <c r="BA39" i="3"/>
  <c r="BB40" i="3"/>
  <c r="BC40" i="3"/>
  <c r="BA40" i="3" s="1"/>
  <c r="BD40" i="3"/>
  <c r="BE40" i="3"/>
  <c r="BF40" i="3"/>
  <c r="BG40" i="3"/>
  <c r="BH40" i="3"/>
  <c r="BI40" i="3"/>
  <c r="BJ40" i="3"/>
  <c r="BK40" i="3"/>
  <c r="BB41" i="3"/>
  <c r="BC41" i="3"/>
  <c r="BD41" i="3"/>
  <c r="BE41" i="3"/>
  <c r="BF41" i="3"/>
  <c r="BG41" i="3"/>
  <c r="BH41" i="3"/>
  <c r="BI41" i="3"/>
  <c r="BJ41" i="3"/>
  <c r="BK41" i="3"/>
  <c r="BA41" i="3"/>
  <c r="BB42" i="3"/>
  <c r="BC42" i="3"/>
  <c r="BA42" i="3" s="1"/>
  <c r="BD42" i="3"/>
  <c r="BE42" i="3"/>
  <c r="BF42" i="3"/>
  <c r="BG42" i="3"/>
  <c r="BH42" i="3"/>
  <c r="BI42" i="3"/>
  <c r="BJ42" i="3"/>
  <c r="BK42" i="3"/>
  <c r="BB43" i="3"/>
  <c r="BC43" i="3"/>
  <c r="BD43" i="3"/>
  <c r="BE43" i="3"/>
  <c r="BF43" i="3"/>
  <c r="BG43" i="3"/>
  <c r="BH43" i="3"/>
  <c r="BI43" i="3"/>
  <c r="BJ43" i="3"/>
  <c r="BK43" i="3"/>
  <c r="BA43" i="3"/>
  <c r="BB44" i="3"/>
  <c r="BC44" i="3"/>
  <c r="BA44" i="3" s="1"/>
  <c r="BD44" i="3"/>
  <c r="BE44" i="3"/>
  <c r="BF44" i="3"/>
  <c r="BG44" i="3"/>
  <c r="BH44" i="3"/>
  <c r="BI44" i="3"/>
  <c r="BJ44" i="3"/>
  <c r="BK44" i="3"/>
  <c r="BB45" i="3"/>
  <c r="BC45" i="3"/>
  <c r="BD45" i="3"/>
  <c r="BE45" i="3"/>
  <c r="BF45" i="3"/>
  <c r="BG45" i="3"/>
  <c r="BH45" i="3"/>
  <c r="BI45" i="3"/>
  <c r="BJ45" i="3"/>
  <c r="BK45" i="3"/>
  <c r="BA45" i="3"/>
  <c r="BB46" i="3"/>
  <c r="BC46" i="3"/>
  <c r="BA46" i="3" s="1"/>
  <c r="BD46" i="3"/>
  <c r="BE46" i="3"/>
  <c r="BF46" i="3"/>
  <c r="BG46" i="3"/>
  <c r="BH46" i="3"/>
  <c r="BI46" i="3"/>
  <c r="BJ46" i="3"/>
  <c r="BK46" i="3"/>
  <c r="BB47" i="3"/>
  <c r="BC47" i="3"/>
  <c r="BD47" i="3"/>
  <c r="BE47" i="3"/>
  <c r="BF47" i="3"/>
  <c r="BG47" i="3"/>
  <c r="BH47" i="3"/>
  <c r="BI47" i="3"/>
  <c r="BJ47" i="3"/>
  <c r="BK47" i="3"/>
  <c r="BA47" i="3"/>
  <c r="BB48" i="3"/>
  <c r="BC48" i="3"/>
  <c r="BA48" i="3" s="1"/>
  <c r="BD48" i="3"/>
  <c r="BE48" i="3"/>
  <c r="BF48" i="3"/>
  <c r="BG48" i="3"/>
  <c r="BH48" i="3"/>
  <c r="BI48" i="3"/>
  <c r="BJ48" i="3"/>
  <c r="BK48" i="3"/>
  <c r="BB49" i="3"/>
  <c r="BC49" i="3"/>
  <c r="BD49" i="3"/>
  <c r="BE49" i="3"/>
  <c r="BF49" i="3"/>
  <c r="BG49" i="3"/>
  <c r="BH49" i="3"/>
  <c r="BI49" i="3"/>
  <c r="BJ49" i="3"/>
  <c r="BK49" i="3"/>
  <c r="BA49" i="3"/>
  <c r="BB50" i="3"/>
  <c r="BC50" i="3"/>
  <c r="BA50" i="3" s="1"/>
  <c r="BD50" i="3"/>
  <c r="BE50" i="3"/>
  <c r="BF50" i="3"/>
  <c r="BG50" i="3"/>
  <c r="BH50" i="3"/>
  <c r="BI50" i="3"/>
  <c r="BJ50" i="3"/>
  <c r="BK50" i="3"/>
  <c r="BB51" i="3"/>
  <c r="BC51" i="3"/>
  <c r="BD51" i="3"/>
  <c r="BE51" i="3"/>
  <c r="BF51" i="3"/>
  <c r="BG51" i="3"/>
  <c r="BH51" i="3"/>
  <c r="BI51" i="3"/>
  <c r="BJ51" i="3"/>
  <c r="BK51" i="3"/>
  <c r="BA51" i="3"/>
  <c r="BB52" i="3"/>
  <c r="BC52" i="3"/>
  <c r="BA52" i="3" s="1"/>
  <c r="BD52" i="3"/>
  <c r="BE52" i="3"/>
  <c r="BF52" i="3"/>
  <c r="BG52" i="3"/>
  <c r="BH52" i="3"/>
  <c r="BI52" i="3"/>
  <c r="BJ52" i="3"/>
  <c r="BK52" i="3"/>
  <c r="BB53" i="3"/>
  <c r="BC53" i="3"/>
  <c r="BD53" i="3"/>
  <c r="BE53" i="3"/>
  <c r="BF53" i="3"/>
  <c r="BG53" i="3"/>
  <c r="BH53" i="3"/>
  <c r="BI53" i="3"/>
  <c r="BJ53" i="3"/>
  <c r="BK53" i="3"/>
  <c r="BA53" i="3"/>
  <c r="BB54" i="3"/>
  <c r="BC54" i="3"/>
  <c r="BA54" i="3" s="1"/>
  <c r="BD54" i="3"/>
  <c r="BE54" i="3"/>
  <c r="BF54" i="3"/>
  <c r="BG54" i="3"/>
  <c r="BH54" i="3"/>
  <c r="BI54" i="3"/>
  <c r="BJ54" i="3"/>
  <c r="BK54" i="3"/>
  <c r="BB55" i="3"/>
  <c r="BC55" i="3"/>
  <c r="BD55" i="3"/>
  <c r="BE55" i="3"/>
  <c r="BF55" i="3"/>
  <c r="BG55" i="3"/>
  <c r="BH55" i="3"/>
  <c r="BI55" i="3"/>
  <c r="BJ55" i="3"/>
  <c r="BK55" i="3"/>
  <c r="BA55" i="3"/>
  <c r="BB56" i="3"/>
  <c r="BC56" i="3"/>
  <c r="BA56" i="3" s="1"/>
  <c r="BD56" i="3"/>
  <c r="BE56" i="3"/>
  <c r="BF56" i="3"/>
  <c r="BG56" i="3"/>
  <c r="BH56" i="3"/>
  <c r="BI56" i="3"/>
  <c r="BJ56" i="3"/>
  <c r="BK56" i="3"/>
  <c r="BB57" i="3"/>
  <c r="BC57" i="3"/>
  <c r="BD57" i="3"/>
  <c r="BE57" i="3"/>
  <c r="BF57" i="3"/>
  <c r="BG57" i="3"/>
  <c r="BH57" i="3"/>
  <c r="BI57" i="3"/>
  <c r="BJ57" i="3"/>
  <c r="BK57" i="3"/>
  <c r="BA57" i="3"/>
  <c r="BB58" i="3"/>
  <c r="BC58" i="3"/>
  <c r="BA58" i="3" s="1"/>
  <c r="BD58" i="3"/>
  <c r="BE58" i="3"/>
  <c r="BF58" i="3"/>
  <c r="BG58" i="3"/>
  <c r="BH58" i="3"/>
  <c r="BI58" i="3"/>
  <c r="BJ58" i="3"/>
  <c r="BK58" i="3"/>
  <c r="BB59" i="3"/>
  <c r="BC59" i="3"/>
  <c r="BD59" i="3"/>
  <c r="BE59" i="3"/>
  <c r="BF59" i="3"/>
  <c r="BG59" i="3"/>
  <c r="BH59" i="3"/>
  <c r="BI59" i="3"/>
  <c r="BJ59" i="3"/>
  <c r="BK59" i="3"/>
  <c r="BA59" i="3"/>
  <c r="BB60" i="3"/>
  <c r="BC60" i="3"/>
  <c r="BA60" i="3" s="1"/>
  <c r="BD60" i="3"/>
  <c r="BE60" i="3"/>
  <c r="BF60" i="3"/>
  <c r="BG60" i="3"/>
  <c r="BH60" i="3"/>
  <c r="BI60" i="3"/>
  <c r="BJ60" i="3"/>
  <c r="BK60" i="3"/>
  <c r="BB61" i="3"/>
  <c r="BC61" i="3"/>
  <c r="BD61" i="3"/>
  <c r="BE61" i="3"/>
  <c r="BF61" i="3"/>
  <c r="BG61" i="3"/>
  <c r="BH61" i="3"/>
  <c r="BI61" i="3"/>
  <c r="BJ61" i="3"/>
  <c r="BK61" i="3"/>
  <c r="BA61" i="3"/>
  <c r="BB62" i="3"/>
  <c r="BC62" i="3"/>
  <c r="BA62" i="3" s="1"/>
  <c r="BD62" i="3"/>
  <c r="BE62" i="3"/>
  <c r="BF62" i="3"/>
  <c r="BG62" i="3"/>
  <c r="BH62" i="3"/>
  <c r="BI62" i="3"/>
  <c r="BJ62" i="3"/>
  <c r="BK62" i="3"/>
  <c r="BB63" i="3"/>
  <c r="BC63" i="3"/>
  <c r="BD63" i="3"/>
  <c r="BE63" i="3"/>
  <c r="BF63" i="3"/>
  <c r="BG63" i="3"/>
  <c r="BH63" i="3"/>
  <c r="BI63" i="3"/>
  <c r="BJ63" i="3"/>
  <c r="BK63" i="3"/>
  <c r="BA63" i="3"/>
  <c r="BB64" i="3"/>
  <c r="BC64" i="3"/>
  <c r="BA64" i="3" s="1"/>
  <c r="BD64" i="3"/>
  <c r="BE64" i="3"/>
  <c r="BF64" i="3"/>
  <c r="BG64" i="3"/>
  <c r="BH64" i="3"/>
  <c r="BI64" i="3"/>
  <c r="BJ64" i="3"/>
  <c r="BK64" i="3"/>
  <c r="BB65" i="3"/>
  <c r="BC65" i="3"/>
  <c r="BD65" i="3"/>
  <c r="BE65" i="3"/>
  <c r="BF65" i="3"/>
  <c r="BG65" i="3"/>
  <c r="BH65" i="3"/>
  <c r="BI65" i="3"/>
  <c r="BJ65" i="3"/>
  <c r="BK65" i="3"/>
  <c r="BA65" i="3"/>
  <c r="BB66" i="3"/>
  <c r="BC66" i="3"/>
  <c r="BA66" i="3" s="1"/>
  <c r="BD66" i="3"/>
  <c r="BE66" i="3"/>
  <c r="BF66" i="3"/>
  <c r="BG66" i="3"/>
  <c r="BH66" i="3"/>
  <c r="BI66" i="3"/>
  <c r="BJ66" i="3"/>
  <c r="BK66" i="3"/>
  <c r="BB67" i="3"/>
  <c r="BC67" i="3"/>
  <c r="BD67" i="3"/>
  <c r="BE67" i="3"/>
  <c r="BF67" i="3"/>
  <c r="BG67" i="3"/>
  <c r="BH67" i="3"/>
  <c r="BI67" i="3"/>
  <c r="BJ67" i="3"/>
  <c r="BK67" i="3"/>
  <c r="BA67" i="3"/>
  <c r="BB68" i="3"/>
  <c r="BC68" i="3"/>
  <c r="BA68" i="3" s="1"/>
  <c r="BD68" i="3"/>
  <c r="BE68" i="3"/>
  <c r="BF68" i="3"/>
  <c r="BG68" i="3"/>
  <c r="BH68" i="3"/>
  <c r="BI68" i="3"/>
  <c r="BJ68" i="3"/>
  <c r="BK68" i="3"/>
  <c r="BB69" i="3"/>
  <c r="BC69" i="3"/>
  <c r="BD69" i="3"/>
  <c r="BE69" i="3"/>
  <c r="BF69" i="3"/>
  <c r="BG69" i="3"/>
  <c r="BH69" i="3"/>
  <c r="BI69" i="3"/>
  <c r="BJ69" i="3"/>
  <c r="BK69" i="3"/>
  <c r="BA69" i="3"/>
  <c r="BB70" i="3"/>
  <c r="BC70" i="3"/>
  <c r="BA70" i="3" s="1"/>
  <c r="BD70" i="3"/>
  <c r="BE70" i="3"/>
  <c r="BF70" i="3"/>
  <c r="BG70" i="3"/>
  <c r="BH70" i="3"/>
  <c r="BI70" i="3"/>
  <c r="BJ70" i="3"/>
  <c r="BK70" i="3"/>
  <c r="BB71" i="3"/>
  <c r="BC71" i="3"/>
  <c r="BD71" i="3"/>
  <c r="BE71" i="3"/>
  <c r="BF71" i="3"/>
  <c r="BG71" i="3"/>
  <c r="BH71" i="3"/>
  <c r="BI71" i="3"/>
  <c r="BJ71" i="3"/>
  <c r="BK71" i="3"/>
  <c r="BA71" i="3"/>
  <c r="BB72" i="3"/>
  <c r="BC72" i="3"/>
  <c r="BA72" i="3" s="1"/>
  <c r="BD72" i="3"/>
  <c r="BE72" i="3"/>
  <c r="BF72" i="3"/>
  <c r="BG72" i="3"/>
  <c r="BH72" i="3"/>
  <c r="BI72" i="3"/>
  <c r="BJ72" i="3"/>
  <c r="BK72" i="3"/>
  <c r="BB73" i="3"/>
  <c r="BC73" i="3"/>
  <c r="BD73" i="3"/>
  <c r="BE73" i="3"/>
  <c r="BF73" i="3"/>
  <c r="BG73" i="3"/>
  <c r="BH73" i="3"/>
  <c r="BI73" i="3"/>
  <c r="BJ73" i="3"/>
  <c r="BK73" i="3"/>
  <c r="BA73" i="3"/>
  <c r="BB74" i="3"/>
  <c r="BC74" i="3"/>
  <c r="BA74" i="3" s="1"/>
  <c r="BD74" i="3"/>
  <c r="BE74" i="3"/>
  <c r="BF74" i="3"/>
  <c r="BG74" i="3"/>
  <c r="BH74" i="3"/>
  <c r="BI74" i="3"/>
  <c r="BJ74" i="3"/>
  <c r="BK74" i="3"/>
  <c r="BB75" i="3"/>
  <c r="BC75" i="3"/>
  <c r="BD75" i="3"/>
  <c r="BE75" i="3"/>
  <c r="BF75" i="3"/>
  <c r="BG75" i="3"/>
  <c r="BH75" i="3"/>
  <c r="BI75" i="3"/>
  <c r="BJ75" i="3"/>
  <c r="BK75" i="3"/>
  <c r="BA75" i="3"/>
  <c r="BB76" i="3"/>
  <c r="BC76" i="3"/>
  <c r="BA76" i="3" s="1"/>
  <c r="BD76" i="3"/>
  <c r="BE76" i="3"/>
  <c r="BF76" i="3"/>
  <c r="BG76" i="3"/>
  <c r="BH76" i="3"/>
  <c r="BI76" i="3"/>
  <c r="BJ76" i="3"/>
  <c r="BK76" i="3"/>
  <c r="BB77" i="3"/>
  <c r="BC77" i="3"/>
  <c r="BD77" i="3"/>
  <c r="BE77" i="3"/>
  <c r="BF77" i="3"/>
  <c r="BG77" i="3"/>
  <c r="BH77" i="3"/>
  <c r="BI77" i="3"/>
  <c r="BJ77" i="3"/>
  <c r="BK77" i="3"/>
  <c r="BA77" i="3"/>
  <c r="BB78" i="3"/>
  <c r="BC78" i="3"/>
  <c r="BA78" i="3" s="1"/>
  <c r="BD78" i="3"/>
  <c r="BE78" i="3"/>
  <c r="BF78" i="3"/>
  <c r="BG78" i="3"/>
  <c r="BH78" i="3"/>
  <c r="BI78" i="3"/>
  <c r="BJ78" i="3"/>
  <c r="BK78" i="3"/>
  <c r="BB79" i="3"/>
  <c r="BC79" i="3"/>
  <c r="BD79" i="3"/>
  <c r="BE79" i="3"/>
  <c r="BF79" i="3"/>
  <c r="BG79" i="3"/>
  <c r="BH79" i="3"/>
  <c r="BI79" i="3"/>
  <c r="BJ79" i="3"/>
  <c r="BK79" i="3"/>
  <c r="BA79" i="3"/>
  <c r="BB80" i="3"/>
  <c r="BC80" i="3"/>
  <c r="BA80" i="3" s="1"/>
  <c r="BD80" i="3"/>
  <c r="BE80" i="3"/>
  <c r="BF80" i="3"/>
  <c r="BG80" i="3"/>
  <c r="BH80" i="3"/>
  <c r="BI80" i="3"/>
  <c r="BJ80" i="3"/>
  <c r="BK80" i="3"/>
  <c r="BB81" i="3"/>
  <c r="BC81" i="3"/>
  <c r="BD81" i="3"/>
  <c r="BE81" i="3"/>
  <c r="BF81" i="3"/>
  <c r="BG81" i="3"/>
  <c r="BH81" i="3"/>
  <c r="BI81" i="3"/>
  <c r="BJ81" i="3"/>
  <c r="BK81" i="3"/>
  <c r="BA81" i="3"/>
  <c r="BB82" i="3"/>
  <c r="BC82" i="3"/>
  <c r="BA82" i="3" s="1"/>
  <c r="BD82" i="3"/>
  <c r="BE82" i="3"/>
  <c r="BF82" i="3"/>
  <c r="BG82" i="3"/>
  <c r="BH82" i="3"/>
  <c r="BI82" i="3"/>
  <c r="BJ82" i="3"/>
  <c r="BK82" i="3"/>
  <c r="BB83" i="3"/>
  <c r="BC83" i="3"/>
  <c r="BD83" i="3"/>
  <c r="BE83" i="3"/>
  <c r="BF83" i="3"/>
  <c r="BG83" i="3"/>
  <c r="BH83" i="3"/>
  <c r="BI83" i="3"/>
  <c r="BJ83" i="3"/>
  <c r="BK83" i="3"/>
  <c r="BA83" i="3"/>
  <c r="BB84" i="3"/>
  <c r="BC84" i="3"/>
  <c r="BA84" i="3" s="1"/>
  <c r="BD84" i="3"/>
  <c r="BE84" i="3"/>
  <c r="BF84" i="3"/>
  <c r="BG84" i="3"/>
  <c r="BH84" i="3"/>
  <c r="BI84" i="3"/>
  <c r="BJ84" i="3"/>
  <c r="BK84" i="3"/>
  <c r="BB85" i="3"/>
  <c r="BC85" i="3"/>
  <c r="BD85" i="3"/>
  <c r="BE85" i="3"/>
  <c r="BF85" i="3"/>
  <c r="BG85" i="3"/>
  <c r="BH85" i="3"/>
  <c r="BI85" i="3"/>
  <c r="BJ85" i="3"/>
  <c r="BK85" i="3"/>
  <c r="BA85" i="3"/>
  <c r="BB86" i="3"/>
  <c r="BC86" i="3"/>
  <c r="BA86" i="3" s="1"/>
  <c r="BD86" i="3"/>
  <c r="BE86" i="3"/>
  <c r="BF86" i="3"/>
  <c r="BG86" i="3"/>
  <c r="BH86" i="3"/>
  <c r="BI86" i="3"/>
  <c r="BJ86" i="3"/>
  <c r="BK86" i="3"/>
  <c r="BB87" i="3"/>
  <c r="BC87" i="3"/>
  <c r="BD87" i="3"/>
  <c r="BE87" i="3"/>
  <c r="BF87" i="3"/>
  <c r="BG87" i="3"/>
  <c r="BH87" i="3"/>
  <c r="BI87" i="3"/>
  <c r="BJ87" i="3"/>
  <c r="BK87" i="3"/>
  <c r="BA87" i="3"/>
  <c r="BB88" i="3"/>
  <c r="BC88" i="3"/>
  <c r="BA88" i="3" s="1"/>
  <c r="BD88" i="3"/>
  <c r="BE88" i="3"/>
  <c r="BF88" i="3"/>
  <c r="BG88" i="3"/>
  <c r="BH88" i="3"/>
  <c r="BI88" i="3"/>
  <c r="BJ88" i="3"/>
  <c r="BK88" i="3"/>
  <c r="BB89" i="3"/>
  <c r="BC89" i="3"/>
  <c r="BD89" i="3"/>
  <c r="BE89" i="3"/>
  <c r="BF89" i="3"/>
  <c r="BG89" i="3"/>
  <c r="BH89" i="3"/>
  <c r="BI89" i="3"/>
  <c r="BJ89" i="3"/>
  <c r="BK89" i="3"/>
  <c r="BA89" i="3"/>
  <c r="BB90" i="3"/>
  <c r="BC90" i="3"/>
  <c r="BA90" i="3" s="1"/>
  <c r="BD90" i="3"/>
  <c r="BE90" i="3"/>
  <c r="BF90" i="3"/>
  <c r="BG90" i="3"/>
  <c r="BH90" i="3"/>
  <c r="BI90" i="3"/>
  <c r="BJ90" i="3"/>
  <c r="BK90" i="3"/>
  <c r="BB91" i="3"/>
  <c r="BC91" i="3"/>
  <c r="BD91" i="3"/>
  <c r="BE91" i="3"/>
  <c r="BF91" i="3"/>
  <c r="BG91" i="3"/>
  <c r="BH91" i="3"/>
  <c r="BI91" i="3"/>
  <c r="BJ91" i="3"/>
  <c r="BK91" i="3"/>
  <c r="BA91" i="3"/>
  <c r="BB92" i="3"/>
  <c r="BC92" i="3"/>
  <c r="BA92" i="3" s="1"/>
  <c r="BD92" i="3"/>
  <c r="BE92" i="3"/>
  <c r="BF92" i="3"/>
  <c r="BG92" i="3"/>
  <c r="BH92" i="3"/>
  <c r="BI92" i="3"/>
  <c r="BJ92" i="3"/>
  <c r="BK92" i="3"/>
  <c r="BB93" i="3"/>
  <c r="BC93" i="3"/>
  <c r="BD93" i="3"/>
  <c r="BE93" i="3"/>
  <c r="BF93" i="3"/>
  <c r="BG93" i="3"/>
  <c r="BH93" i="3"/>
  <c r="BI93" i="3"/>
  <c r="BJ93" i="3"/>
  <c r="BK93" i="3"/>
  <c r="BA93" i="3"/>
  <c r="BB94" i="3"/>
  <c r="BC94" i="3"/>
  <c r="BA94" i="3" s="1"/>
  <c r="BD94" i="3"/>
  <c r="BE94" i="3"/>
  <c r="BF94" i="3"/>
  <c r="BG94" i="3"/>
  <c r="BH94" i="3"/>
  <c r="BI94" i="3"/>
  <c r="BJ94" i="3"/>
  <c r="BK94" i="3"/>
  <c r="BB95" i="3"/>
  <c r="BC95" i="3"/>
  <c r="BD95" i="3"/>
  <c r="BE95" i="3"/>
  <c r="BF95" i="3"/>
  <c r="BG95" i="3"/>
  <c r="BH95" i="3"/>
  <c r="BI95" i="3"/>
  <c r="BJ95" i="3"/>
  <c r="BK95" i="3"/>
  <c r="BA95" i="3"/>
  <c r="BB96" i="3"/>
  <c r="BC96" i="3"/>
  <c r="BA96" i="3" s="1"/>
  <c r="BD96" i="3"/>
  <c r="BE96" i="3"/>
  <c r="BF96" i="3"/>
  <c r="BG96" i="3"/>
  <c r="BH96" i="3"/>
  <c r="BI96" i="3"/>
  <c r="BJ96" i="3"/>
  <c r="BK96" i="3"/>
  <c r="BB97" i="3"/>
  <c r="BC97" i="3"/>
  <c r="BD97" i="3"/>
  <c r="BE97" i="3"/>
  <c r="BF97" i="3"/>
  <c r="BG97" i="3"/>
  <c r="BH97" i="3"/>
  <c r="BI97" i="3"/>
  <c r="BJ97" i="3"/>
  <c r="BK97" i="3"/>
  <c r="BA97" i="3"/>
  <c r="BB98" i="3"/>
  <c r="BC98" i="3"/>
  <c r="BA98" i="3" s="1"/>
  <c r="BD98" i="3"/>
  <c r="BE98" i="3"/>
  <c r="BF98" i="3"/>
  <c r="BG98" i="3"/>
  <c r="BH98" i="3"/>
  <c r="BI98" i="3"/>
  <c r="BJ98" i="3"/>
  <c r="BK98" i="3"/>
  <c r="BB99" i="3"/>
  <c r="BC99" i="3"/>
  <c r="BD99" i="3"/>
  <c r="BE99" i="3"/>
  <c r="BF99" i="3"/>
  <c r="BG99" i="3"/>
  <c r="BH99" i="3"/>
  <c r="BI99" i="3"/>
  <c r="BJ99" i="3"/>
  <c r="BK99" i="3"/>
  <c r="BA99" i="3"/>
  <c r="BB100" i="3"/>
  <c r="BC100" i="3"/>
  <c r="BA100" i="3" s="1"/>
  <c r="BD100" i="3"/>
  <c r="BE100" i="3"/>
  <c r="BF100" i="3"/>
  <c r="BG100" i="3"/>
  <c r="BH100" i="3"/>
  <c r="BI100" i="3"/>
  <c r="BJ100" i="3"/>
  <c r="BK100" i="3"/>
  <c r="BB101" i="3"/>
  <c r="BC101" i="3"/>
  <c r="BD101" i="3"/>
  <c r="BE101" i="3"/>
  <c r="BF101" i="3"/>
  <c r="BG101" i="3"/>
  <c r="BH101" i="3"/>
  <c r="BI101" i="3"/>
  <c r="BJ101" i="3"/>
  <c r="BK101" i="3"/>
  <c r="BA101" i="3"/>
  <c r="BB102" i="3"/>
  <c r="BC102" i="3"/>
  <c r="BA102" i="3" s="1"/>
  <c r="BD102" i="3"/>
  <c r="BE102" i="3"/>
  <c r="BF102" i="3"/>
  <c r="BG102" i="3"/>
  <c r="BH102" i="3"/>
  <c r="BI102" i="3"/>
  <c r="BJ102" i="3"/>
  <c r="BK102" i="3"/>
  <c r="BB103" i="3"/>
  <c r="BC103" i="3"/>
  <c r="BD103" i="3"/>
  <c r="BE103" i="3"/>
  <c r="BF103" i="3"/>
  <c r="BG103" i="3"/>
  <c r="BH103" i="3"/>
  <c r="BI103" i="3"/>
  <c r="BJ103" i="3"/>
  <c r="BK103" i="3"/>
  <c r="BA103" i="3"/>
  <c r="BB104" i="3"/>
  <c r="BC104" i="3"/>
  <c r="BA104" i="3" s="1"/>
  <c r="BD104" i="3"/>
  <c r="BE104" i="3"/>
  <c r="BF104" i="3"/>
  <c r="BG104" i="3"/>
  <c r="BH104" i="3"/>
  <c r="BI104" i="3"/>
  <c r="BJ104" i="3"/>
  <c r="BK104" i="3"/>
  <c r="BB105" i="3"/>
  <c r="BC105" i="3"/>
  <c r="BD105" i="3"/>
  <c r="BE105" i="3"/>
  <c r="BF105" i="3"/>
  <c r="BG105" i="3"/>
  <c r="BH105" i="3"/>
  <c r="BI105" i="3"/>
  <c r="BJ105" i="3"/>
  <c r="BK105" i="3"/>
  <c r="BA105" i="3"/>
  <c r="BB106" i="3"/>
  <c r="BC106" i="3"/>
  <c r="BA106" i="3" s="1"/>
  <c r="BD106" i="3"/>
  <c r="BE106" i="3"/>
  <c r="BF106" i="3"/>
  <c r="BG106" i="3"/>
  <c r="BH106" i="3"/>
  <c r="BI106" i="3"/>
  <c r="BJ106" i="3"/>
  <c r="BK106" i="3"/>
  <c r="BB107" i="3"/>
  <c r="BC107" i="3"/>
  <c r="BD107" i="3"/>
  <c r="BE107" i="3"/>
  <c r="BF107" i="3"/>
  <c r="BG107" i="3"/>
  <c r="BH107" i="3"/>
  <c r="BI107" i="3"/>
  <c r="BJ107" i="3"/>
  <c r="BK107" i="3"/>
  <c r="BA107" i="3"/>
  <c r="BB108" i="3"/>
  <c r="BC108" i="3"/>
  <c r="BA108" i="3" s="1"/>
  <c r="BD108" i="3"/>
  <c r="BE108" i="3"/>
  <c r="BF108" i="3"/>
  <c r="BG108" i="3"/>
  <c r="BH108" i="3"/>
  <c r="BI108" i="3"/>
  <c r="BJ108" i="3"/>
  <c r="BK108" i="3"/>
  <c r="BB109" i="3"/>
  <c r="BC109" i="3"/>
  <c r="BD109" i="3"/>
  <c r="BE109" i="3"/>
  <c r="BF109" i="3"/>
  <c r="BG109" i="3"/>
  <c r="BH109" i="3"/>
  <c r="BI109" i="3"/>
  <c r="BJ109" i="3"/>
  <c r="BK109" i="3"/>
  <c r="BA109" i="3"/>
  <c r="BB110" i="3"/>
  <c r="BC110" i="3"/>
  <c r="BA110" i="3" s="1"/>
  <c r="BD110" i="3"/>
  <c r="BE110" i="3"/>
  <c r="BF110" i="3"/>
  <c r="BG110" i="3"/>
  <c r="BH110" i="3"/>
  <c r="BI110" i="3"/>
  <c r="BJ110" i="3"/>
  <c r="BK110" i="3"/>
  <c r="BB111" i="3"/>
  <c r="BC111" i="3"/>
  <c r="BD111" i="3"/>
  <c r="BE111" i="3"/>
  <c r="BF111" i="3"/>
  <c r="BG111" i="3"/>
  <c r="BH111" i="3"/>
  <c r="BI111" i="3"/>
  <c r="BJ111" i="3"/>
  <c r="BK111" i="3"/>
  <c r="BA111" i="3"/>
  <c r="BB112" i="3"/>
  <c r="BC112" i="3"/>
  <c r="BA112" i="3" s="1"/>
  <c r="BD112" i="3"/>
  <c r="BE112" i="3"/>
  <c r="BF112" i="3"/>
  <c r="BG112" i="3"/>
  <c r="BH112" i="3"/>
  <c r="BI112" i="3"/>
  <c r="BJ112" i="3"/>
  <c r="BK112" i="3"/>
  <c r="BB113" i="3"/>
  <c r="BC113" i="3"/>
  <c r="BD113" i="3"/>
  <c r="BE113" i="3"/>
  <c r="BF113" i="3"/>
  <c r="BG113" i="3"/>
  <c r="BH113" i="3"/>
  <c r="BI113" i="3"/>
  <c r="BJ113" i="3"/>
  <c r="BK113" i="3"/>
  <c r="BA113" i="3"/>
  <c r="BB114" i="3"/>
  <c r="BC114" i="3"/>
  <c r="BA114" i="3" s="1"/>
  <c r="BD114" i="3"/>
  <c r="BE114" i="3"/>
  <c r="BF114" i="3"/>
  <c r="BG114" i="3"/>
  <c r="BH114" i="3"/>
  <c r="BI114" i="3"/>
  <c r="BJ114" i="3"/>
  <c r="BK114" i="3"/>
  <c r="BB115" i="3"/>
  <c r="BC115" i="3"/>
  <c r="BD115" i="3"/>
  <c r="BE115" i="3"/>
  <c r="BF115" i="3"/>
  <c r="BG115" i="3"/>
  <c r="BH115" i="3"/>
  <c r="BI115" i="3"/>
  <c r="BJ115" i="3"/>
  <c r="BK115" i="3"/>
  <c r="BA115" i="3"/>
  <c r="BB116" i="3"/>
  <c r="BC116" i="3"/>
  <c r="BA116" i="3" s="1"/>
  <c r="BD116" i="3"/>
  <c r="BE116" i="3"/>
  <c r="BF116" i="3"/>
  <c r="BG116" i="3"/>
  <c r="BH116" i="3"/>
  <c r="BI116" i="3"/>
  <c r="BJ116" i="3"/>
  <c r="BK116" i="3"/>
  <c r="BB117" i="3"/>
  <c r="BC117" i="3"/>
  <c r="BD117" i="3"/>
  <c r="BE117" i="3"/>
  <c r="BF117" i="3"/>
  <c r="BG117" i="3"/>
  <c r="BH117" i="3"/>
  <c r="BI117" i="3"/>
  <c r="BJ117" i="3"/>
  <c r="BK117" i="3"/>
  <c r="BA117" i="3"/>
  <c r="BB118" i="3"/>
  <c r="BC118" i="3"/>
  <c r="BA118" i="3" s="1"/>
  <c r="BD118" i="3"/>
  <c r="BE118" i="3"/>
  <c r="BF118" i="3"/>
  <c r="BG118" i="3"/>
  <c r="BH118" i="3"/>
  <c r="BI118" i="3"/>
  <c r="BJ118" i="3"/>
  <c r="BK118" i="3"/>
  <c r="BB119" i="3"/>
  <c r="BC119" i="3"/>
  <c r="BD119" i="3"/>
  <c r="BE119" i="3"/>
  <c r="BF119" i="3"/>
  <c r="BG119" i="3"/>
  <c r="BH119" i="3"/>
  <c r="BI119" i="3"/>
  <c r="BJ119" i="3"/>
  <c r="BK119" i="3"/>
  <c r="BA119" i="3"/>
  <c r="BB120" i="3"/>
  <c r="BC120" i="3"/>
  <c r="BA120" i="3" s="1"/>
  <c r="BD120" i="3"/>
  <c r="BE120" i="3"/>
  <c r="BF120" i="3"/>
  <c r="BG120" i="3"/>
  <c r="BH120" i="3"/>
  <c r="BI120" i="3"/>
  <c r="BJ120" i="3"/>
  <c r="BK120" i="3"/>
  <c r="BB121" i="3"/>
  <c r="BC121" i="3"/>
  <c r="BD121" i="3"/>
  <c r="BE121" i="3"/>
  <c r="BF121" i="3"/>
  <c r="BG121" i="3"/>
  <c r="BH121" i="3"/>
  <c r="BI121" i="3"/>
  <c r="BJ121" i="3"/>
  <c r="BK121" i="3"/>
  <c r="BA121" i="3"/>
  <c r="BB122" i="3"/>
  <c r="BC122" i="3"/>
  <c r="BA122" i="3" s="1"/>
  <c r="BD122" i="3"/>
  <c r="BE122" i="3"/>
  <c r="BF122" i="3"/>
  <c r="BG122" i="3"/>
  <c r="BH122" i="3"/>
  <c r="BI122" i="3"/>
  <c r="BJ122" i="3"/>
  <c r="BK122" i="3"/>
  <c r="BB123" i="3"/>
  <c r="BC123" i="3"/>
  <c r="BD123" i="3"/>
  <c r="BE123" i="3"/>
  <c r="BF123" i="3"/>
  <c r="BG123" i="3"/>
  <c r="BH123" i="3"/>
  <c r="BI123" i="3"/>
  <c r="BJ123" i="3"/>
  <c r="BK123" i="3"/>
  <c r="BA123" i="3"/>
  <c r="BB124" i="3"/>
  <c r="BC124" i="3"/>
  <c r="BA124" i="3" s="1"/>
  <c r="BD124" i="3"/>
  <c r="BE124" i="3"/>
  <c r="BF124" i="3"/>
  <c r="BG124" i="3"/>
  <c r="BH124" i="3"/>
  <c r="BI124" i="3"/>
  <c r="BJ124" i="3"/>
  <c r="BK124" i="3"/>
  <c r="BB125" i="3"/>
  <c r="BC125" i="3"/>
  <c r="BD125" i="3"/>
  <c r="BE125" i="3"/>
  <c r="BF125" i="3"/>
  <c r="BG125" i="3"/>
  <c r="BH125" i="3"/>
  <c r="BI125" i="3"/>
  <c r="BJ125" i="3"/>
  <c r="BK125" i="3"/>
  <c r="BA125" i="3"/>
  <c r="BB126" i="3"/>
  <c r="BC126" i="3"/>
  <c r="BA126" i="3" s="1"/>
  <c r="BD126" i="3"/>
  <c r="BE126" i="3"/>
  <c r="BF126" i="3"/>
  <c r="BG126" i="3"/>
  <c r="BH126" i="3"/>
  <c r="BI126" i="3"/>
  <c r="BJ126" i="3"/>
  <c r="BK126" i="3"/>
  <c r="BB127" i="3"/>
  <c r="BC127" i="3"/>
  <c r="BD127" i="3"/>
  <c r="BE127" i="3"/>
  <c r="BF127" i="3"/>
  <c r="BG127" i="3"/>
  <c r="BH127" i="3"/>
  <c r="BI127" i="3"/>
  <c r="BJ127" i="3"/>
  <c r="BK127" i="3"/>
  <c r="BA127" i="3"/>
  <c r="BB128" i="3"/>
  <c r="BC128" i="3"/>
  <c r="BA128" i="3" s="1"/>
  <c r="BD128" i="3"/>
  <c r="BE128" i="3"/>
  <c r="BF128" i="3"/>
  <c r="BG128" i="3"/>
  <c r="BH128" i="3"/>
  <c r="BI128" i="3"/>
  <c r="BJ128" i="3"/>
  <c r="BK128" i="3"/>
  <c r="BB129" i="3"/>
  <c r="BC129" i="3"/>
  <c r="BD129" i="3"/>
  <c r="BE129" i="3"/>
  <c r="BF129" i="3"/>
  <c r="BG129" i="3"/>
  <c r="BH129" i="3"/>
  <c r="BI129" i="3"/>
  <c r="BJ129" i="3"/>
  <c r="BK129" i="3"/>
  <c r="BA129" i="3"/>
  <c r="BB130" i="3"/>
  <c r="BC130" i="3"/>
  <c r="BA130" i="3" s="1"/>
  <c r="BD130" i="3"/>
  <c r="BE130" i="3"/>
  <c r="BF130" i="3"/>
  <c r="BG130" i="3"/>
  <c r="BH130" i="3"/>
  <c r="BI130" i="3"/>
  <c r="BJ130" i="3"/>
  <c r="BK130" i="3"/>
  <c r="BB131" i="3"/>
  <c r="BC131" i="3"/>
  <c r="BD131" i="3"/>
  <c r="BE131" i="3"/>
  <c r="BF131" i="3"/>
  <c r="BG131" i="3"/>
  <c r="BH131" i="3"/>
  <c r="BI131" i="3"/>
  <c r="BJ131" i="3"/>
  <c r="BK131" i="3"/>
  <c r="BA131" i="3"/>
  <c r="BB132" i="3"/>
  <c r="BC132" i="3"/>
  <c r="BA132" i="3" s="1"/>
  <c r="BD132" i="3"/>
  <c r="BE132" i="3"/>
  <c r="BF132" i="3"/>
  <c r="BG132" i="3"/>
  <c r="BH132" i="3"/>
  <c r="BI132" i="3"/>
  <c r="BJ132" i="3"/>
  <c r="BK132" i="3"/>
  <c r="BB133" i="3"/>
  <c r="BC133" i="3"/>
  <c r="BD133" i="3"/>
  <c r="BE133" i="3"/>
  <c r="BF133" i="3"/>
  <c r="BG133" i="3"/>
  <c r="BH133" i="3"/>
  <c r="BI133" i="3"/>
  <c r="BJ133" i="3"/>
  <c r="BK133" i="3"/>
  <c r="BA133" i="3"/>
  <c r="BB134" i="3"/>
  <c r="BC134" i="3"/>
  <c r="BA134" i="3" s="1"/>
  <c r="BD134" i="3"/>
  <c r="BE134" i="3"/>
  <c r="BF134" i="3"/>
  <c r="BG134" i="3"/>
  <c r="BH134" i="3"/>
  <c r="BI134" i="3"/>
  <c r="BJ134" i="3"/>
  <c r="BK134" i="3"/>
  <c r="BB135" i="3"/>
  <c r="BC135" i="3"/>
  <c r="BD135" i="3"/>
  <c r="BE135" i="3"/>
  <c r="BF135" i="3"/>
  <c r="BG135" i="3"/>
  <c r="BH135" i="3"/>
  <c r="BI135" i="3"/>
  <c r="BJ135" i="3"/>
  <c r="BK135" i="3"/>
  <c r="BA135" i="3"/>
  <c r="BB136" i="3"/>
  <c r="BC136" i="3"/>
  <c r="BA136" i="3" s="1"/>
  <c r="BD136" i="3"/>
  <c r="BE136" i="3"/>
  <c r="BF136" i="3"/>
  <c r="BG136" i="3"/>
  <c r="BH136" i="3"/>
  <c r="BI136" i="3"/>
  <c r="BJ136" i="3"/>
  <c r="BK136" i="3"/>
  <c r="BB137" i="3"/>
  <c r="BC137" i="3"/>
  <c r="BD137" i="3"/>
  <c r="BE137" i="3"/>
  <c r="BF137" i="3"/>
  <c r="BG137" i="3"/>
  <c r="BH137" i="3"/>
  <c r="BI137" i="3"/>
  <c r="BJ137" i="3"/>
  <c r="BK137" i="3"/>
  <c r="BA137" i="3"/>
  <c r="BB138" i="3"/>
  <c r="BC138" i="3"/>
  <c r="BA138" i="3" s="1"/>
  <c r="BD138" i="3"/>
  <c r="BE138" i="3"/>
  <c r="BF138" i="3"/>
  <c r="BG138" i="3"/>
  <c r="BH138" i="3"/>
  <c r="BI138" i="3"/>
  <c r="BJ138" i="3"/>
  <c r="BK138" i="3"/>
  <c r="BB139" i="3"/>
  <c r="BC139" i="3"/>
  <c r="BD139" i="3"/>
  <c r="BE139" i="3"/>
  <c r="BF139" i="3"/>
  <c r="BG139" i="3"/>
  <c r="BH139" i="3"/>
  <c r="BI139" i="3"/>
  <c r="BJ139" i="3"/>
  <c r="BK139" i="3"/>
  <c r="BA139" i="3"/>
  <c r="BB140" i="3"/>
  <c r="BC140" i="3"/>
  <c r="BA140" i="3" s="1"/>
  <c r="BD140" i="3"/>
  <c r="BE140" i="3"/>
  <c r="BF140" i="3"/>
  <c r="BG140" i="3"/>
  <c r="BH140" i="3"/>
  <c r="BI140" i="3"/>
  <c r="BJ140" i="3"/>
  <c r="BK140" i="3"/>
  <c r="BB141" i="3"/>
  <c r="BC141" i="3"/>
  <c r="BD141" i="3"/>
  <c r="BE141" i="3"/>
  <c r="BF141" i="3"/>
  <c r="BG141" i="3"/>
  <c r="BH141" i="3"/>
  <c r="BI141" i="3"/>
  <c r="BJ141" i="3"/>
  <c r="BK141" i="3"/>
  <c r="BA141" i="3"/>
  <c r="BB142" i="3"/>
  <c r="BC142" i="3"/>
  <c r="BA142" i="3" s="1"/>
  <c r="BD142" i="3"/>
  <c r="BE142" i="3"/>
  <c r="BF142" i="3"/>
  <c r="BG142" i="3"/>
  <c r="BH142" i="3"/>
  <c r="BI142" i="3"/>
  <c r="BJ142" i="3"/>
  <c r="BK142" i="3"/>
  <c r="BB143" i="3"/>
  <c r="BC143" i="3"/>
  <c r="BD143" i="3"/>
  <c r="BE143" i="3"/>
  <c r="BF143" i="3"/>
  <c r="BG143" i="3"/>
  <c r="BH143" i="3"/>
  <c r="BI143" i="3"/>
  <c r="BJ143" i="3"/>
  <c r="BK143" i="3"/>
  <c r="BA143" i="3"/>
  <c r="BB144" i="3"/>
  <c r="BC144" i="3"/>
  <c r="BA144" i="3" s="1"/>
  <c r="BD144" i="3"/>
  <c r="BE144" i="3"/>
  <c r="BF144" i="3"/>
  <c r="BG144" i="3"/>
  <c r="BH144" i="3"/>
  <c r="BI144" i="3"/>
  <c r="BJ144" i="3"/>
  <c r="BK144" i="3"/>
  <c r="BB145" i="3"/>
  <c r="BC145" i="3"/>
  <c r="BD145" i="3"/>
  <c r="BE145" i="3"/>
  <c r="BF145" i="3"/>
  <c r="BG145" i="3"/>
  <c r="BH145" i="3"/>
  <c r="BI145" i="3"/>
  <c r="BJ145" i="3"/>
  <c r="BK145" i="3"/>
  <c r="BA145" i="3"/>
  <c r="BB146" i="3"/>
  <c r="BC146" i="3"/>
  <c r="BA146" i="3" s="1"/>
  <c r="BD146" i="3"/>
  <c r="BE146" i="3"/>
  <c r="BF146" i="3"/>
  <c r="BG146" i="3"/>
  <c r="BH146" i="3"/>
  <c r="BI146" i="3"/>
  <c r="BJ146" i="3"/>
  <c r="BK146" i="3"/>
  <c r="BB147" i="3"/>
  <c r="BC147" i="3"/>
  <c r="BD147" i="3"/>
  <c r="BE147" i="3"/>
  <c r="BF147" i="3"/>
  <c r="BG147" i="3"/>
  <c r="BH147" i="3"/>
  <c r="BI147" i="3"/>
  <c r="BJ147" i="3"/>
  <c r="BK147" i="3"/>
  <c r="BA147" i="3"/>
  <c r="BB148" i="3"/>
  <c r="BC148" i="3"/>
  <c r="BA148" i="3" s="1"/>
  <c r="BD148" i="3"/>
  <c r="BE148" i="3"/>
  <c r="BF148" i="3"/>
  <c r="BG148" i="3"/>
  <c r="BH148" i="3"/>
  <c r="BI148" i="3"/>
  <c r="BJ148" i="3"/>
  <c r="BK148" i="3"/>
  <c r="BB149" i="3"/>
  <c r="BC149" i="3"/>
  <c r="BD149" i="3"/>
  <c r="BE149" i="3"/>
  <c r="BF149" i="3"/>
  <c r="BG149" i="3"/>
  <c r="BH149" i="3"/>
  <c r="BI149" i="3"/>
  <c r="BJ149" i="3"/>
  <c r="BK149" i="3"/>
  <c r="BA149" i="3"/>
  <c r="BB150" i="3"/>
  <c r="BC150" i="3"/>
  <c r="BA150" i="3" s="1"/>
  <c r="BD150" i="3"/>
  <c r="BE150" i="3"/>
  <c r="BF150" i="3"/>
  <c r="BG150" i="3"/>
  <c r="BH150" i="3"/>
  <c r="BI150" i="3"/>
  <c r="BJ150" i="3"/>
  <c r="BK150" i="3"/>
  <c r="BB151" i="3"/>
  <c r="BC151" i="3"/>
  <c r="BD151" i="3"/>
  <c r="BE151" i="3"/>
  <c r="BF151" i="3"/>
  <c r="BG151" i="3"/>
  <c r="BH151" i="3"/>
  <c r="BI151" i="3"/>
  <c r="BJ151" i="3"/>
  <c r="BK151" i="3"/>
  <c r="BA151" i="3"/>
  <c r="BB152" i="3"/>
  <c r="BC152" i="3"/>
  <c r="BA152" i="3" s="1"/>
  <c r="BD152" i="3"/>
  <c r="BE152" i="3"/>
  <c r="BF152" i="3"/>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A155" i="3"/>
  <c r="BB156" i="3"/>
  <c r="BC156" i="3"/>
  <c r="BA156" i="3" s="1"/>
  <c r="BD156" i="3"/>
  <c r="BE156" i="3"/>
  <c r="BF156" i="3"/>
  <c r="BG156" i="3"/>
  <c r="BH156" i="3"/>
  <c r="BI156" i="3"/>
  <c r="BJ156" i="3"/>
  <c r="BK156" i="3"/>
  <c r="BB157" i="3"/>
  <c r="BC157" i="3"/>
  <c r="BD157" i="3"/>
  <c r="BE157" i="3"/>
  <c r="BF157" i="3"/>
  <c r="BG157" i="3"/>
  <c r="BH157" i="3"/>
  <c r="BI157" i="3"/>
  <c r="BJ157" i="3"/>
  <c r="BK157" i="3"/>
  <c r="BA157" i="3"/>
  <c r="BB158" i="3"/>
  <c r="BC158" i="3"/>
  <c r="BA158" i="3" s="1"/>
  <c r="BD158" i="3"/>
  <c r="BE158" i="3"/>
  <c r="BF158" i="3"/>
  <c r="BG158" i="3"/>
  <c r="BH158" i="3"/>
  <c r="BI158" i="3"/>
  <c r="BJ158" i="3"/>
  <c r="BK158" i="3"/>
  <c r="BB159" i="3"/>
  <c r="BC159" i="3"/>
  <c r="BD159" i="3"/>
  <c r="BE159" i="3"/>
  <c r="BF159" i="3"/>
  <c r="BG159" i="3"/>
  <c r="BH159" i="3"/>
  <c r="BI159" i="3"/>
  <c r="BJ159" i="3"/>
  <c r="BK159" i="3"/>
  <c r="BA159" i="3"/>
  <c r="BB160" i="3"/>
  <c r="BC160" i="3"/>
  <c r="BA160" i="3" s="1"/>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A163" i="3"/>
  <c r="BB164" i="3"/>
  <c r="BC164" i="3"/>
  <c r="BA164" i="3" s="1"/>
  <c r="BD164" i="3"/>
  <c r="BE164" i="3"/>
  <c r="BF164" i="3"/>
  <c r="BG164" i="3"/>
  <c r="BH164" i="3"/>
  <c r="BI164" i="3"/>
  <c r="BJ164" i="3"/>
  <c r="BK164" i="3"/>
  <c r="BB165" i="3"/>
  <c r="BC165" i="3"/>
  <c r="BD165" i="3"/>
  <c r="BE165" i="3"/>
  <c r="BF165" i="3"/>
  <c r="BG165" i="3"/>
  <c r="BH165" i="3"/>
  <c r="BI165" i="3"/>
  <c r="BJ165" i="3"/>
  <c r="BK165" i="3"/>
  <c r="BA165" i="3"/>
  <c r="BB166" i="3"/>
  <c r="BC166" i="3"/>
  <c r="BA166" i="3" s="1"/>
  <c r="BD166" i="3"/>
  <c r="BE166" i="3"/>
  <c r="BF166" i="3"/>
  <c r="BG166" i="3"/>
  <c r="BH166" i="3"/>
  <c r="BI166" i="3"/>
  <c r="BJ166" i="3"/>
  <c r="BK166" i="3"/>
  <c r="BB167" i="3"/>
  <c r="BC167" i="3"/>
  <c r="BD167" i="3"/>
  <c r="BE167" i="3"/>
  <c r="BF167" i="3"/>
  <c r="BG167" i="3"/>
  <c r="BH167" i="3"/>
  <c r="BI167" i="3"/>
  <c r="BJ167" i="3"/>
  <c r="BK167" i="3"/>
  <c r="BA167" i="3"/>
  <c r="BB168" i="3"/>
  <c r="BC168" i="3"/>
  <c r="BA168" i="3" s="1"/>
  <c r="BD168" i="3"/>
  <c r="BE168" i="3"/>
  <c r="BF168" i="3"/>
  <c r="BG168" i="3"/>
  <c r="BH168" i="3"/>
  <c r="BI168" i="3"/>
  <c r="BJ168" i="3"/>
  <c r="BK168" i="3"/>
  <c r="BB169" i="3"/>
  <c r="BC169" i="3"/>
  <c r="BD169" i="3"/>
  <c r="BE169" i="3"/>
  <c r="BF169" i="3"/>
  <c r="BG169" i="3"/>
  <c r="BH169" i="3"/>
  <c r="BI169" i="3"/>
  <c r="BJ169" i="3"/>
  <c r="BK169" i="3"/>
  <c r="BA169" i="3"/>
  <c r="BB170" i="3"/>
  <c r="BC170" i="3"/>
  <c r="BA170" i="3" s="1"/>
  <c r="BD170" i="3"/>
  <c r="BE170" i="3"/>
  <c r="BF170" i="3"/>
  <c r="BG170" i="3"/>
  <c r="BH170" i="3"/>
  <c r="BI170" i="3"/>
  <c r="BJ170" i="3"/>
  <c r="BK170" i="3"/>
  <c r="BB171" i="3"/>
  <c r="BC171" i="3"/>
  <c r="BD171" i="3"/>
  <c r="BE171" i="3"/>
  <c r="BF171" i="3"/>
  <c r="BG171" i="3"/>
  <c r="BH171" i="3"/>
  <c r="BI171" i="3"/>
  <c r="BJ171" i="3"/>
  <c r="BK171" i="3"/>
  <c r="BA171" i="3"/>
  <c r="BB172" i="3"/>
  <c r="BC172" i="3"/>
  <c r="BA172" i="3" s="1"/>
  <c r="BD172" i="3"/>
  <c r="BE172" i="3"/>
  <c r="BF172" i="3"/>
  <c r="BG172" i="3"/>
  <c r="BH172" i="3"/>
  <c r="BI172" i="3"/>
  <c r="BJ172" i="3"/>
  <c r="BK172" i="3"/>
  <c r="BB173" i="3"/>
  <c r="BC173" i="3"/>
  <c r="BD173" i="3"/>
  <c r="BE173" i="3"/>
  <c r="BF173" i="3"/>
  <c r="BG173" i="3"/>
  <c r="BH173" i="3"/>
  <c r="BI173" i="3"/>
  <c r="BJ173" i="3"/>
  <c r="BK173" i="3"/>
  <c r="BA173" i="3"/>
  <c r="BB174" i="3"/>
  <c r="BC174" i="3"/>
  <c r="BA174" i="3" s="1"/>
  <c r="BD174" i="3"/>
  <c r="BE174" i="3"/>
  <c r="BF174" i="3"/>
  <c r="BG174" i="3"/>
  <c r="BH174" i="3"/>
  <c r="BI174" i="3"/>
  <c r="BJ174" i="3"/>
  <c r="BK174" i="3"/>
  <c r="BB175" i="3"/>
  <c r="BC175" i="3"/>
  <c r="BD175" i="3"/>
  <c r="BE175" i="3"/>
  <c r="BF175" i="3"/>
  <c r="BG175" i="3"/>
  <c r="BH175" i="3"/>
  <c r="BI175" i="3"/>
  <c r="BJ175" i="3"/>
  <c r="BK175" i="3"/>
  <c r="BA175" i="3"/>
  <c r="BB176" i="3"/>
  <c r="BC176" i="3"/>
  <c r="BA176" i="3" s="1"/>
  <c r="BD176" i="3"/>
  <c r="BE176" i="3"/>
  <c r="BF176" i="3"/>
  <c r="BG176" i="3"/>
  <c r="BH176" i="3"/>
  <c r="BI176" i="3"/>
  <c r="BJ176" i="3"/>
  <c r="BK176" i="3"/>
  <c r="BB177" i="3"/>
  <c r="BC177" i="3"/>
  <c r="BD177" i="3"/>
  <c r="BE177" i="3"/>
  <c r="BF177" i="3"/>
  <c r="BG177" i="3"/>
  <c r="BH177" i="3"/>
  <c r="BI177" i="3"/>
  <c r="BJ177" i="3"/>
  <c r="BK177" i="3"/>
  <c r="BA177" i="3"/>
  <c r="BB178" i="3"/>
  <c r="BC178" i="3"/>
  <c r="BA178" i="3" s="1"/>
  <c r="BD178" i="3"/>
  <c r="BE178" i="3"/>
  <c r="BF178" i="3"/>
  <c r="BG178" i="3"/>
  <c r="BH178" i="3"/>
  <c r="BI178" i="3"/>
  <c r="BJ178" i="3"/>
  <c r="BK178" i="3"/>
  <c r="BB179" i="3"/>
  <c r="BC179" i="3"/>
  <c r="BD179" i="3"/>
  <c r="BE179" i="3"/>
  <c r="BF179" i="3"/>
  <c r="BG179" i="3"/>
  <c r="BH179" i="3"/>
  <c r="BI179" i="3"/>
  <c r="BJ179" i="3"/>
  <c r="BK179" i="3"/>
  <c r="BA179" i="3"/>
  <c r="BB180" i="3"/>
  <c r="BC180" i="3"/>
  <c r="BA180" i="3" s="1"/>
  <c r="BD180" i="3"/>
  <c r="BE180" i="3"/>
  <c r="BF180" i="3"/>
  <c r="BG180" i="3"/>
  <c r="BH180" i="3"/>
  <c r="BI180" i="3"/>
  <c r="BJ180" i="3"/>
  <c r="BK180" i="3"/>
  <c r="BB181" i="3"/>
  <c r="BC181" i="3"/>
  <c r="BD181" i="3"/>
  <c r="BE181" i="3"/>
  <c r="BF181" i="3"/>
  <c r="BG181" i="3"/>
  <c r="BH181" i="3"/>
  <c r="BI181" i="3"/>
  <c r="BJ181" i="3"/>
  <c r="BK181" i="3"/>
  <c r="BA181" i="3"/>
  <c r="BB182" i="3"/>
  <c r="BC182" i="3"/>
  <c r="BA182" i="3" s="1"/>
  <c r="BD182" i="3"/>
  <c r="BE182" i="3"/>
  <c r="BF182" i="3"/>
  <c r="BG182" i="3"/>
  <c r="BH182" i="3"/>
  <c r="BI182" i="3"/>
  <c r="BJ182" i="3"/>
  <c r="BK182" i="3"/>
  <c r="BB183" i="3"/>
  <c r="BC183" i="3"/>
  <c r="BD183" i="3"/>
  <c r="BE183" i="3"/>
  <c r="BF183" i="3"/>
  <c r="BG183" i="3"/>
  <c r="BH183" i="3"/>
  <c r="BI183" i="3"/>
  <c r="BJ183" i="3"/>
  <c r="BK183" i="3"/>
  <c r="BA183" i="3"/>
  <c r="BB184" i="3"/>
  <c r="BC184" i="3"/>
  <c r="BA184" i="3" s="1"/>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A187" i="3"/>
  <c r="BB188" i="3"/>
  <c r="BC188" i="3"/>
  <c r="BA188" i="3" s="1"/>
  <c r="BD188" i="3"/>
  <c r="BE188" i="3"/>
  <c r="BF188" i="3"/>
  <c r="BG188" i="3"/>
  <c r="BH188" i="3"/>
  <c r="BI188" i="3"/>
  <c r="BJ188" i="3"/>
  <c r="BK188" i="3"/>
  <c r="BB189" i="3"/>
  <c r="BC189" i="3"/>
  <c r="BD189" i="3"/>
  <c r="BE189" i="3"/>
  <c r="BF189" i="3"/>
  <c r="BG189" i="3"/>
  <c r="BH189" i="3"/>
  <c r="BI189" i="3"/>
  <c r="BJ189" i="3"/>
  <c r="BK189" i="3"/>
  <c r="BA189" i="3"/>
  <c r="BB190" i="3"/>
  <c r="BC190" i="3"/>
  <c r="BA190" i="3" s="1"/>
  <c r="BD190" i="3"/>
  <c r="BE190" i="3"/>
  <c r="BF190" i="3"/>
  <c r="BG190" i="3"/>
  <c r="BH190" i="3"/>
  <c r="BI190" i="3"/>
  <c r="BJ190" i="3"/>
  <c r="BK190" i="3"/>
  <c r="BB191" i="3"/>
  <c r="BC191" i="3"/>
  <c r="BD191" i="3"/>
  <c r="BE191" i="3"/>
  <c r="BF191" i="3"/>
  <c r="BG191" i="3"/>
  <c r="BH191" i="3"/>
  <c r="BI191" i="3"/>
  <c r="BJ191" i="3"/>
  <c r="BK191" i="3"/>
  <c r="BA191" i="3"/>
  <c r="BB192" i="3"/>
  <c r="BC192" i="3"/>
  <c r="BA192" i="3" s="1"/>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A195" i="3"/>
  <c r="BB196" i="3"/>
  <c r="BC196" i="3"/>
  <c r="BA196" i="3" s="1"/>
  <c r="BD196" i="3"/>
  <c r="BE196" i="3"/>
  <c r="BF196" i="3"/>
  <c r="BG196" i="3"/>
  <c r="BH196" i="3"/>
  <c r="BI196" i="3"/>
  <c r="BJ196" i="3"/>
  <c r="BK196" i="3"/>
  <c r="BB197" i="3"/>
  <c r="BC197" i="3"/>
  <c r="BD197" i="3"/>
  <c r="BE197" i="3"/>
  <c r="BF197" i="3"/>
  <c r="BG197" i="3"/>
  <c r="BH197" i="3"/>
  <c r="BI197" i="3"/>
  <c r="BJ197" i="3"/>
  <c r="BK197" i="3"/>
  <c r="BA197" i="3"/>
  <c r="BB198" i="3"/>
  <c r="BC198" i="3"/>
  <c r="BA198" i="3" s="1"/>
  <c r="BD198" i="3"/>
  <c r="BE198" i="3"/>
  <c r="BF198" i="3"/>
  <c r="BG198" i="3"/>
  <c r="BH198" i="3"/>
  <c r="BI198" i="3"/>
  <c r="BJ198" i="3"/>
  <c r="BK198" i="3"/>
  <c r="BB199" i="3"/>
  <c r="BC199" i="3"/>
  <c r="BD199" i="3"/>
  <c r="BE199" i="3"/>
  <c r="BF199" i="3"/>
  <c r="BG199" i="3"/>
  <c r="BH199" i="3"/>
  <c r="BI199" i="3"/>
  <c r="BJ199" i="3"/>
  <c r="BK199" i="3"/>
  <c r="BA199" i="3"/>
  <c r="BB200" i="3"/>
  <c r="BC200" i="3"/>
  <c r="BA200" i="3" s="1"/>
  <c r="BD200" i="3"/>
  <c r="BE200" i="3"/>
  <c r="BF200" i="3"/>
  <c r="BG200" i="3"/>
  <c r="BH200" i="3"/>
  <c r="BI200" i="3"/>
  <c r="BJ200" i="3"/>
  <c r="BK200" i="3"/>
  <c r="BB201" i="3"/>
  <c r="BC201" i="3"/>
  <c r="BD201" i="3"/>
  <c r="BE201" i="3"/>
  <c r="BF201" i="3"/>
  <c r="BG201" i="3"/>
  <c r="BH201" i="3"/>
  <c r="BI201" i="3"/>
  <c r="BJ201" i="3"/>
  <c r="BK201" i="3"/>
  <c r="BA201" i="3"/>
  <c r="BB202" i="3"/>
  <c r="BC202" i="3"/>
  <c r="BA202" i="3" s="1"/>
  <c r="BD202" i="3"/>
  <c r="BE202" i="3"/>
  <c r="BF202" i="3"/>
  <c r="BG202" i="3"/>
  <c r="BH202" i="3"/>
  <c r="BI202" i="3"/>
  <c r="BJ202" i="3"/>
  <c r="BK202" i="3"/>
  <c r="BB203" i="3"/>
  <c r="BC203" i="3"/>
  <c r="BD203" i="3"/>
  <c r="BE203" i="3"/>
  <c r="BF203" i="3"/>
  <c r="BG203" i="3"/>
  <c r="BH203" i="3"/>
  <c r="BI203" i="3"/>
  <c r="BJ203" i="3"/>
  <c r="BK203" i="3"/>
  <c r="BA203" i="3"/>
  <c r="BB204" i="3"/>
  <c r="BC204" i="3"/>
  <c r="BA204" i="3" s="1"/>
  <c r="BD204" i="3"/>
  <c r="BE204" i="3"/>
  <c r="BF204" i="3"/>
  <c r="BG204" i="3"/>
  <c r="BH204" i="3"/>
  <c r="BI204" i="3"/>
  <c r="BJ204" i="3"/>
  <c r="BK204" i="3"/>
  <c r="BB205" i="3"/>
  <c r="BC205" i="3"/>
  <c r="BD205" i="3"/>
  <c r="BE205" i="3"/>
  <c r="BF205" i="3"/>
  <c r="BG205" i="3"/>
  <c r="BH205" i="3"/>
  <c r="BI205" i="3"/>
  <c r="BJ205" i="3"/>
  <c r="BK205" i="3"/>
  <c r="BA205" i="3"/>
  <c r="BB206" i="3"/>
  <c r="BC206" i="3"/>
  <c r="BA206" i="3" s="1"/>
  <c r="BD206" i="3"/>
  <c r="BE206" i="3"/>
  <c r="BF206" i="3"/>
  <c r="BG206" i="3"/>
  <c r="BH206" i="3"/>
  <c r="BI206" i="3"/>
  <c r="BJ206" i="3"/>
  <c r="BK206" i="3"/>
  <c r="BB207" i="3"/>
  <c r="BC207" i="3"/>
  <c r="BD207" i="3"/>
  <c r="BE207" i="3"/>
  <c r="BF207" i="3"/>
  <c r="BG207" i="3"/>
  <c r="BH207" i="3"/>
  <c r="BI207" i="3"/>
  <c r="BJ207" i="3"/>
  <c r="BK207" i="3"/>
  <c r="BA207" i="3"/>
  <c r="BB208" i="3"/>
  <c r="BC208" i="3"/>
  <c r="BA208" i="3" s="1"/>
  <c r="BD208" i="3"/>
  <c r="BE208" i="3"/>
  <c r="BF208" i="3"/>
  <c r="BG208" i="3"/>
  <c r="BH208" i="3"/>
  <c r="BI208" i="3"/>
  <c r="BJ208" i="3"/>
  <c r="BK208" i="3"/>
  <c r="BB209" i="3"/>
  <c r="BC209" i="3"/>
  <c r="BD209" i="3"/>
  <c r="BE209" i="3"/>
  <c r="BF209" i="3"/>
  <c r="BG209" i="3"/>
  <c r="BH209" i="3"/>
  <c r="BI209" i="3"/>
  <c r="BJ209" i="3"/>
  <c r="BK209" i="3"/>
  <c r="BA209" i="3"/>
  <c r="BB210" i="3"/>
  <c r="BC210" i="3"/>
  <c r="BA210" i="3" s="1"/>
  <c r="BD210" i="3"/>
  <c r="BE210" i="3"/>
  <c r="BF210" i="3"/>
  <c r="BG210" i="3"/>
  <c r="BH210" i="3"/>
  <c r="BI210" i="3"/>
  <c r="BJ210" i="3"/>
  <c r="BK210" i="3"/>
  <c r="BB211" i="3"/>
  <c r="BC211" i="3"/>
  <c r="BD211" i="3"/>
  <c r="BE211" i="3"/>
  <c r="BF211" i="3"/>
  <c r="BG211" i="3"/>
  <c r="BH211" i="3"/>
  <c r="BI211" i="3"/>
  <c r="BJ211" i="3"/>
  <c r="BK211" i="3"/>
  <c r="BA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A248" i="3" s="1"/>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A251" i="3"/>
  <c r="BB252" i="3"/>
  <c r="BC252" i="3"/>
  <c r="BA252" i="3" s="1"/>
  <c r="BD252" i="3"/>
  <c r="BE252" i="3"/>
  <c r="BF252" i="3"/>
  <c r="BG252" i="3"/>
  <c r="BH252" i="3"/>
  <c r="BI252" i="3"/>
  <c r="BJ252" i="3"/>
  <c r="BK252" i="3"/>
  <c r="BB253" i="3"/>
  <c r="BC253" i="3"/>
  <c r="BD253" i="3"/>
  <c r="BE253" i="3"/>
  <c r="BF253" i="3"/>
  <c r="BG253" i="3"/>
  <c r="BH253" i="3"/>
  <c r="BI253" i="3"/>
  <c r="BJ253" i="3"/>
  <c r="BK253" i="3"/>
  <c r="BA253" i="3"/>
  <c r="BB254" i="3"/>
  <c r="BC254" i="3"/>
  <c r="BA254" i="3" s="1"/>
  <c r="BD254" i="3"/>
  <c r="BE254" i="3"/>
  <c r="BF254" i="3"/>
  <c r="BG254" i="3"/>
  <c r="BH254" i="3"/>
  <c r="BI254" i="3"/>
  <c r="BJ254" i="3"/>
  <c r="BK254" i="3"/>
  <c r="BB255" i="3"/>
  <c r="BC255" i="3"/>
  <c r="BD255" i="3"/>
  <c r="BE255" i="3"/>
  <c r="BF255" i="3"/>
  <c r="BG255" i="3"/>
  <c r="BH255" i="3"/>
  <c r="BI255" i="3"/>
  <c r="BJ255" i="3"/>
  <c r="BK255" i="3"/>
  <c r="BA255" i="3"/>
  <c r="BB256" i="3"/>
  <c r="BC256" i="3"/>
  <c r="BA256" i="3" s="1"/>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D412" i="3"/>
  <c r="BE412" i="3"/>
  <c r="BF412" i="3"/>
  <c r="BG412" i="3"/>
  <c r="BH412" i="3"/>
  <c r="BI412" i="3"/>
  <c r="BJ412" i="3"/>
  <c r="BK412" i="3"/>
  <c r="BB413" i="3"/>
  <c r="BC413" i="3"/>
  <c r="BD413" i="3"/>
  <c r="BE413" i="3"/>
  <c r="BF413" i="3"/>
  <c r="BG413" i="3"/>
  <c r="BH413" i="3"/>
  <c r="BI413" i="3"/>
  <c r="BJ413" i="3"/>
  <c r="BK413" i="3"/>
  <c r="BA413" i="3"/>
  <c r="BB414" i="3"/>
  <c r="BC414" i="3"/>
  <c r="BD414" i="3"/>
  <c r="BE414" i="3"/>
  <c r="BF414" i="3"/>
  <c r="BG414" i="3"/>
  <c r="BH414" i="3"/>
  <c r="BI414" i="3"/>
  <c r="BJ414" i="3"/>
  <c r="BK414" i="3"/>
  <c r="BB415" i="3"/>
  <c r="BC415" i="3"/>
  <c r="BD415" i="3"/>
  <c r="BE415" i="3"/>
  <c r="BF415" i="3"/>
  <c r="BG415" i="3"/>
  <c r="BH415" i="3"/>
  <c r="BI415" i="3"/>
  <c r="BJ415" i="3"/>
  <c r="BK415" i="3"/>
  <c r="BA415" i="3"/>
  <c r="BB416" i="3"/>
  <c r="BC416" i="3"/>
  <c r="BD416" i="3"/>
  <c r="BE416" i="3"/>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F421" i="3"/>
  <c r="BG421" i="3"/>
  <c r="BH421" i="3"/>
  <c r="BI421" i="3"/>
  <c r="BJ421" i="3"/>
  <c r="BK421" i="3"/>
  <c r="BA421" i="3"/>
  <c r="BB422" i="3"/>
  <c r="BC422" i="3"/>
  <c r="BD422" i="3"/>
  <c r="BE422" i="3"/>
  <c r="BF422" i="3"/>
  <c r="BG422" i="3"/>
  <c r="BH422" i="3"/>
  <c r="BI422" i="3"/>
  <c r="BJ422" i="3"/>
  <c r="BK422" i="3"/>
  <c r="BB423" i="3"/>
  <c r="BC423" i="3"/>
  <c r="BD423" i="3"/>
  <c r="BE423" i="3"/>
  <c r="BF423" i="3"/>
  <c r="BG423" i="3"/>
  <c r="BH423" i="3"/>
  <c r="BI423" i="3"/>
  <c r="BJ423" i="3"/>
  <c r="BK423" i="3"/>
  <c r="BA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D427" i="3"/>
  <c r="BE427" i="3"/>
  <c r="BF427" i="3"/>
  <c r="BG427" i="3"/>
  <c r="BH427" i="3"/>
  <c r="BI427" i="3"/>
  <c r="BJ427" i="3"/>
  <c r="BK427" i="3"/>
  <c r="BA427" i="3"/>
  <c r="BB428" i="3"/>
  <c r="BC428" i="3"/>
  <c r="BD428" i="3"/>
  <c r="BE428" i="3"/>
  <c r="BF428" i="3"/>
  <c r="BG428" i="3"/>
  <c r="BH428" i="3"/>
  <c r="BI428" i="3"/>
  <c r="BJ428" i="3"/>
  <c r="BK428" i="3"/>
  <c r="BB429" i="3"/>
  <c r="BC429" i="3"/>
  <c r="BD429" i="3"/>
  <c r="BE429" i="3"/>
  <c r="BF429" i="3"/>
  <c r="BG429" i="3"/>
  <c r="BH429" i="3"/>
  <c r="BI429" i="3"/>
  <c r="BJ429" i="3"/>
  <c r="BK429" i="3"/>
  <c r="BA429" i="3"/>
  <c r="BB430" i="3"/>
  <c r="BC430" i="3"/>
  <c r="BD430" i="3"/>
  <c r="BE430" i="3"/>
  <c r="BF430" i="3"/>
  <c r="BG430" i="3"/>
  <c r="BH430" i="3"/>
  <c r="BI430" i="3"/>
  <c r="BJ430" i="3"/>
  <c r="BK430" i="3"/>
  <c r="BB431" i="3"/>
  <c r="BC431" i="3"/>
  <c r="BD431" i="3"/>
  <c r="BE431" i="3"/>
  <c r="BF431" i="3"/>
  <c r="BG431" i="3"/>
  <c r="BH431" i="3"/>
  <c r="BI431" i="3"/>
  <c r="BJ431" i="3"/>
  <c r="BK431" i="3"/>
  <c r="BA431" i="3"/>
  <c r="BB432" i="3"/>
  <c r="BC432" i="3"/>
  <c r="BD432" i="3"/>
  <c r="BE432" i="3"/>
  <c r="BF432" i="3"/>
  <c r="BG432" i="3"/>
  <c r="BH432" i="3"/>
  <c r="BI432" i="3"/>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B435" i="3"/>
  <c r="BC435" i="3"/>
  <c r="BD435" i="3"/>
  <c r="BE435" i="3"/>
  <c r="BF435" i="3"/>
  <c r="BG435" i="3"/>
  <c r="BH435" i="3"/>
  <c r="BI435" i="3"/>
  <c r="BJ435" i="3"/>
  <c r="BK435" i="3"/>
  <c r="BA435" i="3"/>
  <c r="BB436" i="3"/>
  <c r="BC436" i="3"/>
  <c r="BD436" i="3"/>
  <c r="BE436" i="3"/>
  <c r="BF436" i="3"/>
  <c r="BG436" i="3"/>
  <c r="BH436" i="3"/>
  <c r="BI436" i="3"/>
  <c r="BJ436" i="3"/>
  <c r="BK436" i="3"/>
  <c r="BB437" i="3"/>
  <c r="BC437" i="3"/>
  <c r="BD437" i="3"/>
  <c r="BE437" i="3"/>
  <c r="BF437" i="3"/>
  <c r="BG437" i="3"/>
  <c r="BH437" i="3"/>
  <c r="BI437" i="3"/>
  <c r="BJ437" i="3"/>
  <c r="BK437" i="3"/>
  <c r="BA437" i="3"/>
  <c r="BB438" i="3"/>
  <c r="BC438" i="3"/>
  <c r="BD438" i="3"/>
  <c r="BE438" i="3"/>
  <c r="BF438" i="3"/>
  <c r="BG438" i="3"/>
  <c r="BH438" i="3"/>
  <c r="BI438" i="3"/>
  <c r="BJ438" i="3"/>
  <c r="BK438" i="3"/>
  <c r="BB439" i="3"/>
  <c r="BC439" i="3"/>
  <c r="BD439" i="3"/>
  <c r="BE439" i="3"/>
  <c r="BF439" i="3"/>
  <c r="BG439" i="3"/>
  <c r="BH439" i="3"/>
  <c r="BI439" i="3"/>
  <c r="BJ439" i="3"/>
  <c r="BK439" i="3"/>
  <c r="BA439" i="3"/>
  <c r="BB440" i="3"/>
  <c r="BC440" i="3"/>
  <c r="BD440" i="3"/>
  <c r="BE440" i="3"/>
  <c r="BF440" i="3"/>
  <c r="BG440" i="3"/>
  <c r="BH440" i="3"/>
  <c r="BI440" i="3"/>
  <c r="BJ440" i="3"/>
  <c r="BK440" i="3"/>
  <c r="BB441" i="3"/>
  <c r="BC441" i="3"/>
  <c r="BD441" i="3"/>
  <c r="BE441" i="3"/>
  <c r="BF441" i="3"/>
  <c r="BG441" i="3"/>
  <c r="BH441" i="3"/>
  <c r="BI441" i="3"/>
  <c r="BJ441" i="3"/>
  <c r="BK441" i="3"/>
  <c r="BA441" i="3"/>
  <c r="BB442" i="3"/>
  <c r="BC442" i="3"/>
  <c r="BD442" i="3"/>
  <c r="BE442" i="3"/>
  <c r="BF442" i="3"/>
  <c r="BG442" i="3"/>
  <c r="BH442" i="3"/>
  <c r="BI442" i="3"/>
  <c r="BJ442" i="3"/>
  <c r="BK442" i="3"/>
  <c r="BB443" i="3"/>
  <c r="BC443" i="3"/>
  <c r="BD443" i="3"/>
  <c r="BE443" i="3"/>
  <c r="BF443" i="3"/>
  <c r="BG443" i="3"/>
  <c r="BH443" i="3"/>
  <c r="BI443" i="3"/>
  <c r="BJ443" i="3"/>
  <c r="BK443" i="3"/>
  <c r="BA443" i="3"/>
  <c r="BB444" i="3"/>
  <c r="BC444" i="3"/>
  <c r="BD444" i="3"/>
  <c r="BE444" i="3"/>
  <c r="BF444" i="3"/>
  <c r="BG444" i="3"/>
  <c r="BH444" i="3"/>
  <c r="BI444" i="3"/>
  <c r="BJ444" i="3"/>
  <c r="BK444" i="3"/>
  <c r="BB445" i="3"/>
  <c r="BC445" i="3"/>
  <c r="BD445" i="3"/>
  <c r="BE445" i="3"/>
  <c r="BF445" i="3"/>
  <c r="BG445" i="3"/>
  <c r="BH445" i="3"/>
  <c r="BI445" i="3"/>
  <c r="BJ445" i="3"/>
  <c r="BK445" i="3"/>
  <c r="BA445" i="3"/>
  <c r="BB446" i="3"/>
  <c r="BC446" i="3"/>
  <c r="BD446" i="3"/>
  <c r="BE446" i="3"/>
  <c r="BF446" i="3"/>
  <c r="BG446" i="3"/>
  <c r="BH446" i="3"/>
  <c r="BI446" i="3"/>
  <c r="BJ446" i="3"/>
  <c r="BK446" i="3"/>
  <c r="BB447" i="3"/>
  <c r="BC447" i="3"/>
  <c r="BD447" i="3"/>
  <c r="BE447" i="3"/>
  <c r="BF447" i="3"/>
  <c r="BG447" i="3"/>
  <c r="BH447" i="3"/>
  <c r="BI447" i="3"/>
  <c r="BJ447" i="3"/>
  <c r="BK447" i="3"/>
  <c r="BA447" i="3"/>
  <c r="BB448" i="3"/>
  <c r="BC448" i="3"/>
  <c r="BD448" i="3"/>
  <c r="BE448" i="3"/>
  <c r="BF448" i="3"/>
  <c r="BG448" i="3"/>
  <c r="BH448" i="3"/>
  <c r="BI448" i="3"/>
  <c r="BJ448" i="3"/>
  <c r="BK448" i="3"/>
  <c r="BB449" i="3"/>
  <c r="BC449" i="3"/>
  <c r="BD449" i="3"/>
  <c r="BE449" i="3"/>
  <c r="BF449" i="3"/>
  <c r="BG449" i="3"/>
  <c r="BH449" i="3"/>
  <c r="BI449" i="3"/>
  <c r="BJ449" i="3"/>
  <c r="BK449" i="3"/>
  <c r="BA449" i="3"/>
  <c r="BB450" i="3"/>
  <c r="BC450" i="3"/>
  <c r="BD450" i="3"/>
  <c r="BE450" i="3"/>
  <c r="BF450" i="3"/>
  <c r="BG450" i="3"/>
  <c r="BH450" i="3"/>
  <c r="BI450" i="3"/>
  <c r="BJ450" i="3"/>
  <c r="BK450" i="3"/>
  <c r="BB451" i="3"/>
  <c r="BC451" i="3"/>
  <c r="BD451" i="3"/>
  <c r="BE451" i="3"/>
  <c r="BF451" i="3"/>
  <c r="BG451" i="3"/>
  <c r="BH451" i="3"/>
  <c r="BI451" i="3"/>
  <c r="BJ451" i="3"/>
  <c r="BK451" i="3"/>
  <c r="BA451" i="3"/>
  <c r="BB452" i="3"/>
  <c r="BC452" i="3"/>
  <c r="BD452" i="3"/>
  <c r="BE452" i="3"/>
  <c r="BF452" i="3"/>
  <c r="BG452" i="3"/>
  <c r="BH452" i="3"/>
  <c r="BI452" i="3"/>
  <c r="BJ452" i="3"/>
  <c r="BK452" i="3"/>
  <c r="BB453" i="3"/>
  <c r="BC453" i="3"/>
  <c r="BD453" i="3"/>
  <c r="BE453" i="3"/>
  <c r="BF453" i="3"/>
  <c r="BG453" i="3"/>
  <c r="BH453" i="3"/>
  <c r="BI453" i="3"/>
  <c r="BJ453" i="3"/>
  <c r="BK453" i="3"/>
  <c r="BA453" i="3"/>
  <c r="BB454" i="3"/>
  <c r="BC454" i="3"/>
  <c r="BD454" i="3"/>
  <c r="BE454" i="3"/>
  <c r="BF454" i="3"/>
  <c r="BG454" i="3"/>
  <c r="BH454" i="3"/>
  <c r="BI454" i="3"/>
  <c r="BJ454" i="3"/>
  <c r="BK454" i="3"/>
  <c r="BB455" i="3"/>
  <c r="BC455" i="3"/>
  <c r="BD455" i="3"/>
  <c r="BE455" i="3"/>
  <c r="BF455" i="3"/>
  <c r="BG455" i="3"/>
  <c r="BH455" i="3"/>
  <c r="BI455" i="3"/>
  <c r="BJ455" i="3"/>
  <c r="BK455" i="3"/>
  <c r="BA455" i="3"/>
  <c r="BB456" i="3"/>
  <c r="BC456" i="3"/>
  <c r="BD456" i="3"/>
  <c r="BE456" i="3"/>
  <c r="BF456" i="3"/>
  <c r="BG456" i="3"/>
  <c r="BH456" i="3"/>
  <c r="BI456" i="3"/>
  <c r="BJ456" i="3"/>
  <c r="BK456" i="3"/>
  <c r="BB457" i="3"/>
  <c r="BC457" i="3"/>
  <c r="BD457" i="3"/>
  <c r="BE457" i="3"/>
  <c r="BF457" i="3"/>
  <c r="BG457" i="3"/>
  <c r="BH457" i="3"/>
  <c r="BI457" i="3"/>
  <c r="BJ457" i="3"/>
  <c r="BK457" i="3"/>
  <c r="BA457" i="3"/>
  <c r="BB458" i="3"/>
  <c r="BC458" i="3"/>
  <c r="BD458" i="3"/>
  <c r="BE458" i="3"/>
  <c r="BF458" i="3"/>
  <c r="BG458" i="3"/>
  <c r="BH458" i="3"/>
  <c r="BI458" i="3"/>
  <c r="BJ458" i="3"/>
  <c r="BK458" i="3"/>
  <c r="BB459" i="3"/>
  <c r="BC459" i="3"/>
  <c r="BD459" i="3"/>
  <c r="BE459" i="3"/>
  <c r="BF459" i="3"/>
  <c r="BG459" i="3"/>
  <c r="BH459" i="3"/>
  <c r="BI459" i="3"/>
  <c r="BJ459" i="3"/>
  <c r="BK459" i="3"/>
  <c r="BA459" i="3"/>
  <c r="BB460" i="3"/>
  <c r="BC460" i="3"/>
  <c r="BD460" i="3"/>
  <c r="BE460" i="3"/>
  <c r="BF460" i="3"/>
  <c r="BG460" i="3"/>
  <c r="BH460" i="3"/>
  <c r="BI460" i="3"/>
  <c r="BJ460" i="3"/>
  <c r="BK460" i="3"/>
  <c r="BB461" i="3"/>
  <c r="BC461" i="3"/>
  <c r="BD461" i="3"/>
  <c r="BE461" i="3"/>
  <c r="BF461" i="3"/>
  <c r="BG461" i="3"/>
  <c r="BH461" i="3"/>
  <c r="BI461" i="3"/>
  <c r="BJ461" i="3"/>
  <c r="BK461" i="3"/>
  <c r="BA461" i="3"/>
  <c r="BB462" i="3"/>
  <c r="BC462" i="3"/>
  <c r="BD462" i="3"/>
  <c r="BE462" i="3"/>
  <c r="BF462" i="3"/>
  <c r="BG462" i="3"/>
  <c r="BH462" i="3"/>
  <c r="BI462" i="3"/>
  <c r="BJ462" i="3"/>
  <c r="BK462" i="3"/>
  <c r="BB463" i="3"/>
  <c r="BC463" i="3"/>
  <c r="BD463" i="3"/>
  <c r="BE463" i="3"/>
  <c r="BF463" i="3"/>
  <c r="BG463" i="3"/>
  <c r="BH463" i="3"/>
  <c r="BI463" i="3"/>
  <c r="BJ463" i="3"/>
  <c r="BK463" i="3"/>
  <c r="BA463" i="3"/>
  <c r="BB464" i="3"/>
  <c r="BC464" i="3"/>
  <c r="BD464" i="3"/>
  <c r="BE464" i="3"/>
  <c r="BF464" i="3"/>
  <c r="BG464" i="3"/>
  <c r="BH464" i="3"/>
  <c r="BI464" i="3"/>
  <c r="BJ464" i="3"/>
  <c r="BK464" i="3"/>
  <c r="BB465" i="3"/>
  <c r="BC465" i="3"/>
  <c r="BD465" i="3"/>
  <c r="BE465" i="3"/>
  <c r="BF465" i="3"/>
  <c r="BG465" i="3"/>
  <c r="BH465" i="3"/>
  <c r="BI465" i="3"/>
  <c r="BJ465" i="3"/>
  <c r="BK465" i="3"/>
  <c r="BA465" i="3"/>
  <c r="BB466" i="3"/>
  <c r="BC466" i="3"/>
  <c r="BD466" i="3"/>
  <c r="BE466" i="3"/>
  <c r="BF466" i="3"/>
  <c r="BG466" i="3"/>
  <c r="BH466" i="3"/>
  <c r="BI466" i="3"/>
  <c r="BJ466" i="3"/>
  <c r="BK466" i="3"/>
  <c r="BB467" i="3"/>
  <c r="BC467" i="3"/>
  <c r="BD467" i="3"/>
  <c r="BE467" i="3"/>
  <c r="BF467" i="3"/>
  <c r="BG467" i="3"/>
  <c r="BH467" i="3"/>
  <c r="BI467" i="3"/>
  <c r="BJ467" i="3"/>
  <c r="BK467" i="3"/>
  <c r="BA467" i="3"/>
  <c r="BB468" i="3"/>
  <c r="BC468" i="3"/>
  <c r="BD468" i="3"/>
  <c r="BE468" i="3"/>
  <c r="BF468" i="3"/>
  <c r="BG468" i="3"/>
  <c r="BH468" i="3"/>
  <c r="BI468" i="3"/>
  <c r="BJ468" i="3"/>
  <c r="BK468" i="3"/>
  <c r="BB469" i="3"/>
  <c r="BC469" i="3"/>
  <c r="BD469" i="3"/>
  <c r="BE469" i="3"/>
  <c r="BF469" i="3"/>
  <c r="BG469" i="3"/>
  <c r="BH469" i="3"/>
  <c r="BI469" i="3"/>
  <c r="BJ469" i="3"/>
  <c r="BK469" i="3"/>
  <c r="BA469" i="3"/>
  <c r="BB470" i="3"/>
  <c r="BC470" i="3"/>
  <c r="BD470" i="3"/>
  <c r="BE470" i="3"/>
  <c r="BF470" i="3"/>
  <c r="BG470" i="3"/>
  <c r="BH470" i="3"/>
  <c r="BI470" i="3"/>
  <c r="BJ470" i="3"/>
  <c r="BK470" i="3"/>
  <c r="BB471" i="3"/>
  <c r="BC471" i="3"/>
  <c r="BD471" i="3"/>
  <c r="BE471" i="3"/>
  <c r="BF471" i="3"/>
  <c r="BG471" i="3"/>
  <c r="BH471" i="3"/>
  <c r="BI471" i="3"/>
  <c r="BJ471" i="3"/>
  <c r="BK471" i="3"/>
  <c r="BA471" i="3"/>
  <c r="BB472" i="3"/>
  <c r="BC472" i="3"/>
  <c r="BD472" i="3"/>
  <c r="BE472" i="3"/>
  <c r="BF472" i="3"/>
  <c r="BG472" i="3"/>
  <c r="BH472" i="3"/>
  <c r="BI472" i="3"/>
  <c r="BJ472" i="3"/>
  <c r="BK472" i="3"/>
  <c r="BB473" i="3"/>
  <c r="BC473" i="3"/>
  <c r="BD473" i="3"/>
  <c r="BE473" i="3"/>
  <c r="BF473" i="3"/>
  <c r="BG473" i="3"/>
  <c r="BH473" i="3"/>
  <c r="BI473" i="3"/>
  <c r="BJ473" i="3"/>
  <c r="BK473" i="3"/>
  <c r="BA473" i="3"/>
  <c r="BB474" i="3"/>
  <c r="BC474" i="3"/>
  <c r="BD474" i="3"/>
  <c r="BE474" i="3"/>
  <c r="BF474" i="3"/>
  <c r="BG474" i="3"/>
  <c r="BH474" i="3"/>
  <c r="BI474" i="3"/>
  <c r="BJ474" i="3"/>
  <c r="BK474" i="3"/>
  <c r="BB475" i="3"/>
  <c r="BC475" i="3"/>
  <c r="BD475" i="3"/>
  <c r="BE475" i="3"/>
  <c r="BF475" i="3"/>
  <c r="BG475" i="3"/>
  <c r="BH475" i="3"/>
  <c r="BI475" i="3"/>
  <c r="BJ475" i="3"/>
  <c r="BK475" i="3"/>
  <c r="BA475" i="3"/>
  <c r="BB476" i="3"/>
  <c r="BC476" i="3"/>
  <c r="BD476" i="3"/>
  <c r="BE476" i="3"/>
  <c r="BF476" i="3"/>
  <c r="BG476" i="3"/>
  <c r="BH476" i="3"/>
  <c r="BI476" i="3"/>
  <c r="BJ476" i="3"/>
  <c r="BK476" i="3"/>
  <c r="BB477" i="3"/>
  <c r="BC477" i="3"/>
  <c r="BD477" i="3"/>
  <c r="BE477" i="3"/>
  <c r="BF477" i="3"/>
  <c r="BG477" i="3"/>
  <c r="BH477" i="3"/>
  <c r="BI477" i="3"/>
  <c r="BJ477" i="3"/>
  <c r="BK477" i="3"/>
  <c r="BA477" i="3"/>
  <c r="BB478" i="3"/>
  <c r="BC478" i="3"/>
  <c r="BD478" i="3"/>
  <c r="BE478" i="3"/>
  <c r="BF478" i="3"/>
  <c r="BG478" i="3"/>
  <c r="BH478" i="3"/>
  <c r="BI478" i="3"/>
  <c r="BJ478" i="3"/>
  <c r="BK478" i="3"/>
  <c r="BB479" i="3"/>
  <c r="BC479" i="3"/>
  <c r="BD479" i="3"/>
  <c r="BE479" i="3"/>
  <c r="BF479" i="3"/>
  <c r="BG479" i="3"/>
  <c r="BH479" i="3"/>
  <c r="BI479" i="3"/>
  <c r="BJ479" i="3"/>
  <c r="BK479" i="3"/>
  <c r="BA479" i="3"/>
  <c r="BB480" i="3"/>
  <c r="BC480" i="3"/>
  <c r="BD480" i="3"/>
  <c r="BE480" i="3"/>
  <c r="BF480" i="3"/>
  <c r="BG480" i="3"/>
  <c r="BH480" i="3"/>
  <c r="BI480" i="3"/>
  <c r="BJ480" i="3"/>
  <c r="BK480" i="3"/>
  <c r="BB481" i="3"/>
  <c r="BC481" i="3"/>
  <c r="BD481" i="3"/>
  <c r="BE481" i="3"/>
  <c r="BF481" i="3"/>
  <c r="BG481" i="3"/>
  <c r="BH481" i="3"/>
  <c r="BI481" i="3"/>
  <c r="BJ481" i="3"/>
  <c r="BK481" i="3"/>
  <c r="BA481" i="3"/>
  <c r="BB482" i="3"/>
  <c r="BC482" i="3"/>
  <c r="BD482" i="3"/>
  <c r="BE482" i="3"/>
  <c r="BF482" i="3"/>
  <c r="BG482" i="3"/>
  <c r="BH482" i="3"/>
  <c r="BI482" i="3"/>
  <c r="BJ482" i="3"/>
  <c r="BK482" i="3"/>
  <c r="BB483" i="3"/>
  <c r="BC483" i="3"/>
  <c r="BD483" i="3"/>
  <c r="BE483" i="3"/>
  <c r="BF483" i="3"/>
  <c r="BG483" i="3"/>
  <c r="BH483" i="3"/>
  <c r="BI483" i="3"/>
  <c r="BJ483" i="3"/>
  <c r="BK483" i="3"/>
  <c r="BA483" i="3"/>
  <c r="BB484" i="3"/>
  <c r="BC484" i="3"/>
  <c r="BD484" i="3"/>
  <c r="BE484" i="3"/>
  <c r="BF484" i="3"/>
  <c r="BG484" i="3"/>
  <c r="BH484" i="3"/>
  <c r="BI484" i="3"/>
  <c r="BJ484" i="3"/>
  <c r="BK484" i="3"/>
  <c r="BB485" i="3"/>
  <c r="BC485" i="3"/>
  <c r="BD485" i="3"/>
  <c r="BE485" i="3"/>
  <c r="BF485" i="3"/>
  <c r="BG485" i="3"/>
  <c r="BH485" i="3"/>
  <c r="BI485" i="3"/>
  <c r="BJ485" i="3"/>
  <c r="BK485" i="3"/>
  <c r="BA485" i="3"/>
  <c r="BB486" i="3"/>
  <c r="BC486" i="3"/>
  <c r="BD486" i="3"/>
  <c r="BE486" i="3"/>
  <c r="BF486" i="3"/>
  <c r="BG486" i="3"/>
  <c r="BH486" i="3"/>
  <c r="BI486" i="3"/>
  <c r="BJ486" i="3"/>
  <c r="BK486" i="3"/>
  <c r="BB487" i="3"/>
  <c r="BC487" i="3"/>
  <c r="BD487" i="3"/>
  <c r="BE487" i="3"/>
  <c r="BF487" i="3"/>
  <c r="BG487" i="3"/>
  <c r="BH487" i="3"/>
  <c r="BI487" i="3"/>
  <c r="BJ487" i="3"/>
  <c r="BK487" i="3"/>
  <c r="BA487" i="3"/>
  <c r="BB488" i="3"/>
  <c r="BC488" i="3"/>
  <c r="BD488" i="3"/>
  <c r="BE488" i="3"/>
  <c r="BF488" i="3"/>
  <c r="BG488" i="3"/>
  <c r="BH488" i="3"/>
  <c r="BI488" i="3"/>
  <c r="BJ488" i="3"/>
  <c r="BK488" i="3"/>
  <c r="BB489" i="3"/>
  <c r="BC489" i="3"/>
  <c r="BD489" i="3"/>
  <c r="BE489" i="3"/>
  <c r="BF489" i="3"/>
  <c r="BG489" i="3"/>
  <c r="BH489" i="3"/>
  <c r="BI489" i="3"/>
  <c r="BJ489" i="3"/>
  <c r="BK489" i="3"/>
  <c r="BA489" i="3"/>
  <c r="BB490" i="3"/>
  <c r="BC490" i="3"/>
  <c r="BD490" i="3"/>
  <c r="BE490" i="3"/>
  <c r="BF490" i="3"/>
  <c r="BG490" i="3"/>
  <c r="BH490" i="3"/>
  <c r="BI490" i="3"/>
  <c r="BJ490" i="3"/>
  <c r="BK490" i="3"/>
  <c r="BB491" i="3"/>
  <c r="BC491" i="3"/>
  <c r="BD491" i="3"/>
  <c r="BE491" i="3"/>
  <c r="BF491" i="3"/>
  <c r="BG491" i="3"/>
  <c r="BH491" i="3"/>
  <c r="BI491" i="3"/>
  <c r="BJ491" i="3"/>
  <c r="BK491" i="3"/>
  <c r="BA491" i="3"/>
  <c r="BB492" i="3"/>
  <c r="BC492" i="3"/>
  <c r="BD492" i="3"/>
  <c r="BE492" i="3"/>
  <c r="BF492" i="3"/>
  <c r="BG492" i="3"/>
  <c r="BH492" i="3"/>
  <c r="BI492" i="3"/>
  <c r="BJ492" i="3"/>
  <c r="BK492" i="3"/>
  <c r="BB493" i="3"/>
  <c r="BC493" i="3"/>
  <c r="BD493" i="3"/>
  <c r="BE493" i="3"/>
  <c r="BF493" i="3"/>
  <c r="BG493" i="3"/>
  <c r="BH493" i="3"/>
  <c r="BI493" i="3"/>
  <c r="BJ493" i="3"/>
  <c r="BK493" i="3"/>
  <c r="BA493" i="3"/>
  <c r="BB494" i="3"/>
  <c r="BC494" i="3"/>
  <c r="BD494" i="3"/>
  <c r="BE494" i="3"/>
  <c r="BF494" i="3"/>
  <c r="BG494" i="3"/>
  <c r="BH494" i="3"/>
  <c r="BI494" i="3"/>
  <c r="BJ494" i="3"/>
  <c r="BK494" i="3"/>
  <c r="BB495" i="3"/>
  <c r="BC495" i="3"/>
  <c r="BD495" i="3"/>
  <c r="BE495" i="3"/>
  <c r="BF495" i="3"/>
  <c r="BG495" i="3"/>
  <c r="BH495" i="3"/>
  <c r="BI495" i="3"/>
  <c r="BJ495" i="3"/>
  <c r="BK495" i="3"/>
  <c r="BA495" i="3"/>
  <c r="BB496" i="3"/>
  <c r="BC496" i="3"/>
  <c r="BD496" i="3"/>
  <c r="BE496" i="3"/>
  <c r="BF496" i="3"/>
  <c r="BG496" i="3"/>
  <c r="BH496" i="3"/>
  <c r="BI496" i="3"/>
  <c r="BJ496" i="3"/>
  <c r="BK496" i="3"/>
  <c r="BB497" i="3"/>
  <c r="BC497" i="3"/>
  <c r="BD497" i="3"/>
  <c r="BE497" i="3"/>
  <c r="BF497" i="3"/>
  <c r="BG497" i="3"/>
  <c r="BH497" i="3"/>
  <c r="BI497" i="3"/>
  <c r="BJ497" i="3"/>
  <c r="BK497" i="3"/>
  <c r="BA497" i="3"/>
  <c r="BB498" i="3"/>
  <c r="BC498" i="3"/>
  <c r="BD498" i="3"/>
  <c r="BE498" i="3"/>
  <c r="BF498" i="3"/>
  <c r="BG498" i="3"/>
  <c r="BH498" i="3"/>
  <c r="BI498" i="3"/>
  <c r="BJ498" i="3"/>
  <c r="BK498" i="3"/>
  <c r="BB499" i="3"/>
  <c r="BC499" i="3"/>
  <c r="BD499" i="3"/>
  <c r="BE499" i="3"/>
  <c r="BF499" i="3"/>
  <c r="BG499" i="3"/>
  <c r="BH499" i="3"/>
  <c r="BI499" i="3"/>
  <c r="BJ499" i="3"/>
  <c r="BK499" i="3"/>
  <c r="BA499" i="3"/>
  <c r="BB500" i="3"/>
  <c r="BC500" i="3"/>
  <c r="BD500" i="3"/>
  <c r="BE500" i="3"/>
  <c r="BF500" i="3"/>
  <c r="BG500" i="3"/>
  <c r="BH500" i="3"/>
  <c r="BI500" i="3"/>
  <c r="BJ500" i="3"/>
  <c r="BK500" i="3"/>
  <c r="BB501" i="3"/>
  <c r="BC501" i="3"/>
  <c r="BD501" i="3"/>
  <c r="BE501" i="3"/>
  <c r="BF501" i="3"/>
  <c r="BG501" i="3"/>
  <c r="BH501" i="3"/>
  <c r="BI501" i="3"/>
  <c r="BJ501" i="3"/>
  <c r="BK501" i="3"/>
  <c r="BA501" i="3"/>
  <c r="BB502" i="3"/>
  <c r="BC502" i="3"/>
  <c r="BD502" i="3"/>
  <c r="BE502" i="3"/>
  <c r="BF502" i="3"/>
  <c r="BG502" i="3"/>
  <c r="BH502" i="3"/>
  <c r="BI502" i="3"/>
  <c r="BJ502" i="3"/>
  <c r="BK502" i="3"/>
  <c r="BB503" i="3"/>
  <c r="BC503" i="3"/>
  <c r="BD503" i="3"/>
  <c r="BE503" i="3"/>
  <c r="BF503" i="3"/>
  <c r="BG503" i="3"/>
  <c r="BH503" i="3"/>
  <c r="BI503" i="3"/>
  <c r="BJ503" i="3"/>
  <c r="BK503" i="3"/>
  <c r="BA503" i="3"/>
  <c r="BB504" i="3"/>
  <c r="BC504" i="3"/>
  <c r="BD504" i="3"/>
  <c r="BE504" i="3"/>
  <c r="BF504" i="3"/>
  <c r="BG504" i="3"/>
  <c r="BH504" i="3"/>
  <c r="BI504" i="3"/>
  <c r="BJ504" i="3"/>
  <c r="BK504" i="3"/>
  <c r="BB505" i="3"/>
  <c r="BC505" i="3"/>
  <c r="BD505" i="3"/>
  <c r="BE505" i="3"/>
  <c r="BF505" i="3"/>
  <c r="BG505" i="3"/>
  <c r="BH505" i="3"/>
  <c r="BI505" i="3"/>
  <c r="BJ505" i="3"/>
  <c r="BK505" i="3"/>
  <c r="BA505" i="3"/>
  <c r="BB506" i="3"/>
  <c r="BC506" i="3"/>
  <c r="BD506" i="3"/>
  <c r="BE506" i="3"/>
  <c r="BF506" i="3"/>
  <c r="BG506" i="3"/>
  <c r="BH506" i="3"/>
  <c r="BI506" i="3"/>
  <c r="BJ506" i="3"/>
  <c r="BK506" i="3"/>
  <c r="BB507" i="3"/>
  <c r="BC507" i="3"/>
  <c r="BD507" i="3"/>
  <c r="BE507" i="3"/>
  <c r="BF507" i="3"/>
  <c r="BG507" i="3"/>
  <c r="BH507" i="3"/>
  <c r="BI507" i="3"/>
  <c r="BJ507" i="3"/>
  <c r="BK507" i="3"/>
  <c r="BA507" i="3"/>
  <c r="BB508" i="3"/>
  <c r="BC508" i="3"/>
  <c r="BD508" i="3"/>
  <c r="BE508" i="3"/>
  <c r="BF508" i="3"/>
  <c r="BG508" i="3"/>
  <c r="BH508" i="3"/>
  <c r="BI508" i="3"/>
  <c r="BJ508" i="3"/>
  <c r="BK508" i="3"/>
  <c r="BB509" i="3"/>
  <c r="BC509" i="3"/>
  <c r="BD509" i="3"/>
  <c r="BE509" i="3"/>
  <c r="BF509" i="3"/>
  <c r="BG509" i="3"/>
  <c r="BH509" i="3"/>
  <c r="BI509" i="3"/>
  <c r="BJ509" i="3"/>
  <c r="BK509" i="3"/>
  <c r="BA509" i="3"/>
  <c r="BB510" i="3"/>
  <c r="BC510" i="3"/>
  <c r="BD510" i="3"/>
  <c r="BE510" i="3"/>
  <c r="BF510" i="3"/>
  <c r="BG510" i="3"/>
  <c r="BH510" i="3"/>
  <c r="BI510" i="3"/>
  <c r="BJ510" i="3"/>
  <c r="BK510" i="3"/>
  <c r="BB511" i="3"/>
  <c r="BC511" i="3"/>
  <c r="BD511" i="3"/>
  <c r="BE511" i="3"/>
  <c r="BF511" i="3"/>
  <c r="BG511" i="3"/>
  <c r="BH511" i="3"/>
  <c r="BI511" i="3"/>
  <c r="BJ511" i="3"/>
  <c r="BK511" i="3"/>
  <c r="BA511" i="3"/>
  <c r="BB512" i="3"/>
  <c r="BC512" i="3"/>
  <c r="BD512" i="3"/>
  <c r="BE512" i="3"/>
  <c r="BF512" i="3"/>
  <c r="BG512" i="3"/>
  <c r="BH512" i="3"/>
  <c r="BI512" i="3"/>
  <c r="BJ512" i="3"/>
  <c r="BK512" i="3"/>
  <c r="BB513" i="3"/>
  <c r="BC513" i="3"/>
  <c r="BD513" i="3"/>
  <c r="BE513" i="3"/>
  <c r="BF513" i="3"/>
  <c r="BG513" i="3"/>
  <c r="BH513" i="3"/>
  <c r="BI513" i="3"/>
  <c r="BJ513" i="3"/>
  <c r="BK513" i="3"/>
  <c r="BA513" i="3"/>
  <c r="BB514" i="3"/>
  <c r="BC514" i="3"/>
  <c r="BD514" i="3"/>
  <c r="BE514" i="3"/>
  <c r="BF514" i="3"/>
  <c r="BG514" i="3"/>
  <c r="BH514" i="3"/>
  <c r="BI514" i="3"/>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B517" i="3"/>
  <c r="BC517" i="3"/>
  <c r="BD517" i="3"/>
  <c r="BE517" i="3"/>
  <c r="BF517" i="3"/>
  <c r="BG517" i="3"/>
  <c r="BH517" i="3"/>
  <c r="BI517" i="3"/>
  <c r="BJ517" i="3"/>
  <c r="BK517" i="3"/>
  <c r="BA517" i="3"/>
  <c r="BB518" i="3"/>
  <c r="BC518" i="3"/>
  <c r="BD518" i="3"/>
  <c r="BE518" i="3"/>
  <c r="BF518" i="3"/>
  <c r="BG518" i="3"/>
  <c r="BH518" i="3"/>
  <c r="BI518" i="3"/>
  <c r="BJ518" i="3"/>
  <c r="BK518" i="3"/>
  <c r="BB519" i="3"/>
  <c r="BC519" i="3"/>
  <c r="BD519" i="3"/>
  <c r="BE519" i="3"/>
  <c r="BF519" i="3"/>
  <c r="BG519" i="3"/>
  <c r="BH519" i="3"/>
  <c r="BI519" i="3"/>
  <c r="BJ519" i="3"/>
  <c r="BK519" i="3"/>
  <c r="BA519" i="3"/>
  <c r="BB520" i="3"/>
  <c r="BC520" i="3"/>
  <c r="BD520" i="3"/>
  <c r="BE520" i="3"/>
  <c r="BF520" i="3"/>
  <c r="BG520" i="3"/>
  <c r="BH520" i="3"/>
  <c r="BI520" i="3"/>
  <c r="BJ520" i="3"/>
  <c r="BK520" i="3"/>
  <c r="BB521" i="3"/>
  <c r="BC521" i="3"/>
  <c r="BD521" i="3"/>
  <c r="BE521" i="3"/>
  <c r="BF521" i="3"/>
  <c r="BG521" i="3"/>
  <c r="BH521" i="3"/>
  <c r="BI521" i="3"/>
  <c r="BJ521" i="3"/>
  <c r="BK521" i="3"/>
  <c r="BA521" i="3"/>
  <c r="BB522" i="3"/>
  <c r="BC522" i="3"/>
  <c r="BD522" i="3"/>
  <c r="BE522" i="3"/>
  <c r="BF522" i="3"/>
  <c r="BG522" i="3"/>
  <c r="BH522" i="3"/>
  <c r="BI522" i="3"/>
  <c r="BJ522" i="3"/>
  <c r="BK522" i="3"/>
  <c r="BB523" i="3"/>
  <c r="BC523" i="3"/>
  <c r="BD523" i="3"/>
  <c r="BE523" i="3"/>
  <c r="BF523" i="3"/>
  <c r="BG523" i="3"/>
  <c r="BH523" i="3"/>
  <c r="BI523" i="3"/>
  <c r="BJ523" i="3"/>
  <c r="BK523" i="3"/>
  <c r="BA523" i="3"/>
  <c r="BB524" i="3"/>
  <c r="BC524" i="3"/>
  <c r="BD524" i="3"/>
  <c r="BE524" i="3"/>
  <c r="BF524" i="3"/>
  <c r="BG524" i="3"/>
  <c r="BH524" i="3"/>
  <c r="BI524" i="3"/>
  <c r="BJ524" i="3"/>
  <c r="BK524" i="3"/>
  <c r="BB525" i="3"/>
  <c r="BC525" i="3"/>
  <c r="BD525" i="3"/>
  <c r="BE525" i="3"/>
  <c r="BF525" i="3"/>
  <c r="BG525" i="3"/>
  <c r="BH525" i="3"/>
  <c r="BI525" i="3"/>
  <c r="BJ525" i="3"/>
  <c r="BK525" i="3"/>
  <c r="BA525" i="3"/>
  <c r="BB526" i="3"/>
  <c r="BC526" i="3"/>
  <c r="BD526" i="3"/>
  <c r="BE526" i="3"/>
  <c r="BF526" i="3"/>
  <c r="BG526" i="3"/>
  <c r="BH526" i="3"/>
  <c r="BI526" i="3"/>
  <c r="BJ526" i="3"/>
  <c r="BK526" i="3"/>
  <c r="BB527" i="3"/>
  <c r="BC527" i="3"/>
  <c r="BD527" i="3"/>
  <c r="BE527" i="3"/>
  <c r="BF527" i="3"/>
  <c r="BG527" i="3"/>
  <c r="BH527" i="3"/>
  <c r="BI527" i="3"/>
  <c r="BJ527" i="3"/>
  <c r="BK527" i="3"/>
  <c r="BA527" i="3"/>
  <c r="BB528" i="3"/>
  <c r="BC528" i="3"/>
  <c r="BD528" i="3"/>
  <c r="BE528" i="3"/>
  <c r="BF528" i="3"/>
  <c r="BG528" i="3"/>
  <c r="BH528" i="3"/>
  <c r="BI528" i="3"/>
  <c r="BJ528" i="3"/>
  <c r="BK528" i="3"/>
  <c r="BB529" i="3"/>
  <c r="BC529" i="3"/>
  <c r="BD529" i="3"/>
  <c r="BE529" i="3"/>
  <c r="BF529" i="3"/>
  <c r="BG529" i="3"/>
  <c r="BH529" i="3"/>
  <c r="BI529" i="3"/>
  <c r="BJ529" i="3"/>
  <c r="BK529" i="3"/>
  <c r="BA529" i="3"/>
  <c r="BB530" i="3"/>
  <c r="BC530" i="3"/>
  <c r="BD530" i="3"/>
  <c r="BE530" i="3"/>
  <c r="BF530" i="3"/>
  <c r="BG530" i="3"/>
  <c r="BH530" i="3"/>
  <c r="BI530" i="3"/>
  <c r="BJ530" i="3"/>
  <c r="BK530" i="3"/>
  <c r="BB531" i="3"/>
  <c r="BC531" i="3"/>
  <c r="BD531" i="3"/>
  <c r="BE531" i="3"/>
  <c r="BF531" i="3"/>
  <c r="BG531" i="3"/>
  <c r="BH531" i="3"/>
  <c r="BI531" i="3"/>
  <c r="BJ531" i="3"/>
  <c r="BK531" i="3"/>
  <c r="BA531" i="3"/>
  <c r="BB532" i="3"/>
  <c r="BC532" i="3"/>
  <c r="BD532" i="3"/>
  <c r="BE532" i="3"/>
  <c r="BF532" i="3"/>
  <c r="BG532" i="3"/>
  <c r="BH532" i="3"/>
  <c r="BI532" i="3"/>
  <c r="BJ532" i="3"/>
  <c r="BK532" i="3"/>
  <c r="BB533" i="3"/>
  <c r="BC533" i="3"/>
  <c r="BD533" i="3"/>
  <c r="BE533" i="3"/>
  <c r="BF533" i="3"/>
  <c r="BG533" i="3"/>
  <c r="BH533" i="3"/>
  <c r="BI533" i="3"/>
  <c r="BJ533" i="3"/>
  <c r="BK533" i="3"/>
  <c r="BA533" i="3"/>
  <c r="BB534" i="3"/>
  <c r="BC534" i="3"/>
  <c r="BD534" i="3"/>
  <c r="BE534" i="3"/>
  <c r="BF534" i="3"/>
  <c r="BG534" i="3"/>
  <c r="BH534" i="3"/>
  <c r="BI534" i="3"/>
  <c r="BJ534" i="3"/>
  <c r="BK534" i="3"/>
  <c r="BB535" i="3"/>
  <c r="BC535" i="3"/>
  <c r="BD535" i="3"/>
  <c r="BE535" i="3"/>
  <c r="BF535" i="3"/>
  <c r="BG535" i="3"/>
  <c r="BH535" i="3"/>
  <c r="BI535" i="3"/>
  <c r="BJ535" i="3"/>
  <c r="BK535" i="3"/>
  <c r="BA535" i="3"/>
  <c r="BB536" i="3"/>
  <c r="BC536" i="3"/>
  <c r="BD536" i="3"/>
  <c r="BE536" i="3"/>
  <c r="BF536" i="3"/>
  <c r="BG536" i="3"/>
  <c r="BH536" i="3"/>
  <c r="BI536" i="3"/>
  <c r="BJ536" i="3"/>
  <c r="BK536" i="3"/>
  <c r="BB537" i="3"/>
  <c r="BC537" i="3"/>
  <c r="BD537" i="3"/>
  <c r="BE537" i="3"/>
  <c r="BF537" i="3"/>
  <c r="BG537" i="3"/>
  <c r="BH537" i="3"/>
  <c r="BI537" i="3"/>
  <c r="BJ537" i="3"/>
  <c r="BK537" i="3"/>
  <c r="BA537" i="3"/>
  <c r="BB538" i="3"/>
  <c r="BC538" i="3"/>
  <c r="BD538" i="3"/>
  <c r="BE538" i="3"/>
  <c r="BF538" i="3"/>
  <c r="BG538" i="3"/>
  <c r="BH538" i="3"/>
  <c r="BI538" i="3"/>
  <c r="BJ538" i="3"/>
  <c r="BK538" i="3"/>
  <c r="BB539" i="3"/>
  <c r="BC539" i="3"/>
  <c r="BD539" i="3"/>
  <c r="BE539" i="3"/>
  <c r="BF539" i="3"/>
  <c r="BG539" i="3"/>
  <c r="BH539" i="3"/>
  <c r="BI539" i="3"/>
  <c r="BJ539" i="3"/>
  <c r="BK539" i="3"/>
  <c r="BA539" i="3"/>
  <c r="BB540" i="3"/>
  <c r="BC540" i="3"/>
  <c r="BD540" i="3"/>
  <c r="BE540" i="3"/>
  <c r="BF540" i="3"/>
  <c r="BG540" i="3"/>
  <c r="BH540" i="3"/>
  <c r="BI540" i="3"/>
  <c r="BJ540" i="3"/>
  <c r="BK540" i="3"/>
  <c r="BB541" i="3"/>
  <c r="BC541" i="3"/>
  <c r="BD541" i="3"/>
  <c r="BE541" i="3"/>
  <c r="BF541" i="3"/>
  <c r="BG541" i="3"/>
  <c r="BH541" i="3"/>
  <c r="BI541" i="3"/>
  <c r="BJ541" i="3"/>
  <c r="BK541" i="3"/>
  <c r="BA541" i="3"/>
  <c r="BB542" i="3"/>
  <c r="BC542" i="3"/>
  <c r="BD542" i="3"/>
  <c r="BE542" i="3"/>
  <c r="BF542" i="3"/>
  <c r="BG542" i="3"/>
  <c r="BH542" i="3"/>
  <c r="BI542" i="3"/>
  <c r="BJ542" i="3"/>
  <c r="BK542" i="3"/>
  <c r="BB543" i="3"/>
  <c r="BC543" i="3"/>
  <c r="BD543" i="3"/>
  <c r="BE543" i="3"/>
  <c r="BF543" i="3"/>
  <c r="BG543" i="3"/>
  <c r="BH543" i="3"/>
  <c r="BI543" i="3"/>
  <c r="BJ543" i="3"/>
  <c r="BK543" i="3"/>
  <c r="BA543" i="3"/>
  <c r="BB544" i="3"/>
  <c r="BC544" i="3"/>
  <c r="BD544" i="3"/>
  <c r="BE544" i="3"/>
  <c r="BF544" i="3"/>
  <c r="BG544" i="3"/>
  <c r="BH544" i="3"/>
  <c r="BI544" i="3"/>
  <c r="BJ544" i="3"/>
  <c r="BK544" i="3"/>
  <c r="BB545" i="3"/>
  <c r="BC545" i="3"/>
  <c r="BD545" i="3"/>
  <c r="BE545" i="3"/>
  <c r="BF545" i="3"/>
  <c r="BG545" i="3"/>
  <c r="BH545" i="3"/>
  <c r="BI545" i="3"/>
  <c r="BJ545" i="3"/>
  <c r="BK545" i="3"/>
  <c r="BA545" i="3"/>
  <c r="BB546" i="3"/>
  <c r="BC546" i="3"/>
  <c r="BD546" i="3"/>
  <c r="BE546" i="3"/>
  <c r="BF546" i="3"/>
  <c r="BG546" i="3"/>
  <c r="BH546" i="3"/>
  <c r="BI546" i="3"/>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B549" i="3"/>
  <c r="BC549" i="3"/>
  <c r="BD549" i="3"/>
  <c r="BE549" i="3"/>
  <c r="BF549" i="3"/>
  <c r="BG549" i="3"/>
  <c r="BH549" i="3"/>
  <c r="BI549" i="3"/>
  <c r="BJ549" i="3"/>
  <c r="BK549" i="3"/>
  <c r="BA549" i="3"/>
  <c r="BB550" i="3"/>
  <c r="BC550" i="3"/>
  <c r="BA550" i="3" s="1"/>
  <c r="BD550" i="3"/>
  <c r="BE550" i="3"/>
  <c r="BF550" i="3"/>
  <c r="BG550" i="3"/>
  <c r="BH550" i="3"/>
  <c r="BI550" i="3"/>
  <c r="BJ550" i="3"/>
  <c r="BK550" i="3"/>
  <c r="BB551" i="3"/>
  <c r="BC551" i="3"/>
  <c r="BD551" i="3"/>
  <c r="BE551" i="3"/>
  <c r="BF551" i="3"/>
  <c r="BG551" i="3"/>
  <c r="BH551" i="3"/>
  <c r="BI551" i="3"/>
  <c r="BJ551" i="3"/>
  <c r="BK551" i="3"/>
  <c r="BA551" i="3"/>
  <c r="BB552" i="3"/>
  <c r="BC552" i="3"/>
  <c r="BA552" i="3" s="1"/>
  <c r="BD552" i="3"/>
  <c r="BE552" i="3"/>
  <c r="BF552" i="3"/>
  <c r="BG552" i="3"/>
  <c r="BH552" i="3"/>
  <c r="BI552" i="3"/>
  <c r="BJ552" i="3"/>
  <c r="BK552" i="3"/>
  <c r="BB553" i="3"/>
  <c r="BC553" i="3"/>
  <c r="BD553" i="3"/>
  <c r="BE553" i="3"/>
  <c r="BF553" i="3"/>
  <c r="BG553" i="3"/>
  <c r="BH553" i="3"/>
  <c r="BI553" i="3"/>
  <c r="BJ553" i="3"/>
  <c r="BK553" i="3"/>
  <c r="BA553" i="3"/>
  <c r="BB554" i="3"/>
  <c r="BC554" i="3"/>
  <c r="BA554" i="3" s="1"/>
  <c r="BD554" i="3"/>
  <c r="BE554" i="3"/>
  <c r="BF554" i="3"/>
  <c r="BG554" i="3"/>
  <c r="BH554" i="3"/>
  <c r="BI554" i="3"/>
  <c r="BJ554" i="3"/>
  <c r="BK554" i="3"/>
  <c r="BB555" i="3"/>
  <c r="BC555" i="3"/>
  <c r="BD555" i="3"/>
  <c r="BE555" i="3"/>
  <c r="BF555" i="3"/>
  <c r="BG555" i="3"/>
  <c r="BH555" i="3"/>
  <c r="BI555" i="3"/>
  <c r="BJ555" i="3"/>
  <c r="BK555" i="3"/>
  <c r="BA555" i="3"/>
  <c r="BB556" i="3"/>
  <c r="BC556" i="3"/>
  <c r="BA556" i="3" s="1"/>
  <c r="BD556" i="3"/>
  <c r="BE556" i="3"/>
  <c r="BF556" i="3"/>
  <c r="BG556" i="3"/>
  <c r="BH556" i="3"/>
  <c r="BI556" i="3"/>
  <c r="BJ556" i="3"/>
  <c r="BK556" i="3"/>
  <c r="BB557" i="3"/>
  <c r="BC557" i="3"/>
  <c r="BD557" i="3"/>
  <c r="BE557" i="3"/>
  <c r="BF557" i="3"/>
  <c r="BG557" i="3"/>
  <c r="BH557" i="3"/>
  <c r="BI557" i="3"/>
  <c r="BJ557" i="3"/>
  <c r="BK557" i="3"/>
  <c r="BA557" i="3"/>
  <c r="BB558" i="3"/>
  <c r="BC558" i="3"/>
  <c r="BA558" i="3" s="1"/>
  <c r="BD558" i="3"/>
  <c r="BE558" i="3"/>
  <c r="BF558" i="3"/>
  <c r="BG558" i="3"/>
  <c r="BH558" i="3"/>
  <c r="BI558" i="3"/>
  <c r="BJ558" i="3"/>
  <c r="BK558" i="3"/>
  <c r="BB559" i="3"/>
  <c r="BC559" i="3"/>
  <c r="BD559" i="3"/>
  <c r="BE559" i="3"/>
  <c r="BF559" i="3"/>
  <c r="BG559" i="3"/>
  <c r="BH559" i="3"/>
  <c r="BI559" i="3"/>
  <c r="BJ559" i="3"/>
  <c r="BK559" i="3"/>
  <c r="BA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A562" i="3" s="1"/>
  <c r="BD562" i="3"/>
  <c r="BE562" i="3"/>
  <c r="BF562" i="3"/>
  <c r="BG562" i="3"/>
  <c r="BH562" i="3"/>
  <c r="BI562" i="3"/>
  <c r="BJ562" i="3"/>
  <c r="BK562" i="3"/>
  <c r="BB563" i="3"/>
  <c r="BC563" i="3"/>
  <c r="BD563" i="3"/>
  <c r="BE563" i="3"/>
  <c r="BF563" i="3"/>
  <c r="BG563" i="3"/>
  <c r="BH563" i="3"/>
  <c r="BI563" i="3"/>
  <c r="BJ563" i="3"/>
  <c r="BK563" i="3"/>
  <c r="BA563" i="3"/>
  <c r="BB564" i="3"/>
  <c r="BC564" i="3"/>
  <c r="BA564" i="3" s="1"/>
  <c r="BD564" i="3"/>
  <c r="BE564" i="3"/>
  <c r="BF564" i="3"/>
  <c r="BG564" i="3"/>
  <c r="BH564" i="3"/>
  <c r="BI564" i="3"/>
  <c r="BJ564" i="3"/>
  <c r="BK564" i="3"/>
  <c r="BB565" i="3"/>
  <c r="BC565" i="3"/>
  <c r="BD565" i="3"/>
  <c r="BE565" i="3"/>
  <c r="BF565" i="3"/>
  <c r="BG565" i="3"/>
  <c r="BH565" i="3"/>
  <c r="BI565" i="3"/>
  <c r="BJ565" i="3"/>
  <c r="BK565" i="3"/>
  <c r="BA565" i="3"/>
  <c r="BB566" i="3"/>
  <c r="BC566" i="3"/>
  <c r="BA566" i="3" s="1"/>
  <c r="BD566" i="3"/>
  <c r="BE566" i="3"/>
  <c r="BF566" i="3"/>
  <c r="BG566" i="3"/>
  <c r="BH566" i="3"/>
  <c r="BI566" i="3"/>
  <c r="BJ566" i="3"/>
  <c r="BK566" i="3"/>
  <c r="BB567" i="3"/>
  <c r="BC567" i="3"/>
  <c r="BD567" i="3"/>
  <c r="BE567" i="3"/>
  <c r="BF567" i="3"/>
  <c r="BG567" i="3"/>
  <c r="BH567" i="3"/>
  <c r="BI567" i="3"/>
  <c r="BJ567" i="3"/>
  <c r="BK567" i="3"/>
  <c r="BA567" i="3"/>
  <c r="BB568" i="3"/>
  <c r="BC568" i="3"/>
  <c r="BA568" i="3" s="1"/>
  <c r="BD568" i="3"/>
  <c r="BE568" i="3"/>
  <c r="BF568" i="3"/>
  <c r="BG568" i="3"/>
  <c r="BH568" i="3"/>
  <c r="BI568" i="3"/>
  <c r="BJ568" i="3"/>
  <c r="BK568" i="3"/>
  <c r="BB569" i="3"/>
  <c r="BC569" i="3"/>
  <c r="BD569" i="3"/>
  <c r="BE569" i="3"/>
  <c r="BF569" i="3"/>
  <c r="BG569" i="3"/>
  <c r="BH569" i="3"/>
  <c r="BI569" i="3"/>
  <c r="BJ569" i="3"/>
  <c r="BK569" i="3"/>
  <c r="BA569" i="3"/>
  <c r="BB570" i="3"/>
  <c r="BC570" i="3"/>
  <c r="BA570" i="3" s="1"/>
  <c r="BD570" i="3"/>
  <c r="BE570" i="3"/>
  <c r="BF570" i="3"/>
  <c r="BG570" i="3"/>
  <c r="BH570" i="3"/>
  <c r="BI570" i="3"/>
  <c r="BJ570" i="3"/>
  <c r="BK570" i="3"/>
  <c r="BB571" i="3"/>
  <c r="BC571" i="3"/>
  <c r="BD571" i="3"/>
  <c r="BE571" i="3"/>
  <c r="BF571" i="3"/>
  <c r="BG571" i="3"/>
  <c r="BH571" i="3"/>
  <c r="BI571" i="3"/>
  <c r="BJ571" i="3"/>
  <c r="BK571" i="3"/>
  <c r="BA571" i="3"/>
  <c r="BB572" i="3"/>
  <c r="BC572" i="3"/>
  <c r="BA572" i="3" s="1"/>
  <c r="BD572" i="3"/>
  <c r="BE572" i="3"/>
  <c r="BF572" i="3"/>
  <c r="BG572" i="3"/>
  <c r="BH572" i="3"/>
  <c r="BI572" i="3"/>
  <c r="BJ572" i="3"/>
  <c r="BK572" i="3"/>
  <c r="BB573" i="3"/>
  <c r="BC573" i="3"/>
  <c r="BD573" i="3"/>
  <c r="BE573" i="3"/>
  <c r="BF573" i="3"/>
  <c r="BG573" i="3"/>
  <c r="BH573" i="3"/>
  <c r="BI573" i="3"/>
  <c r="BJ573" i="3"/>
  <c r="BK573" i="3"/>
  <c r="BA573" i="3"/>
  <c r="BB574" i="3"/>
  <c r="BC574" i="3"/>
  <c r="BA574" i="3" s="1"/>
  <c r="BD574" i="3"/>
  <c r="BE574" i="3"/>
  <c r="BF574" i="3"/>
  <c r="BG574" i="3"/>
  <c r="BH574" i="3"/>
  <c r="BI574" i="3"/>
  <c r="BJ574" i="3"/>
  <c r="BK574" i="3"/>
  <c r="BB575" i="3"/>
  <c r="BC575" i="3"/>
  <c r="BD575" i="3"/>
  <c r="BE575" i="3"/>
  <c r="BF575" i="3"/>
  <c r="BG575" i="3"/>
  <c r="BH575" i="3"/>
  <c r="BI575" i="3"/>
  <c r="BJ575" i="3"/>
  <c r="BK575" i="3"/>
  <c r="BA575" i="3"/>
  <c r="BB576" i="3"/>
  <c r="BC576" i="3"/>
  <c r="BA576" i="3" s="1"/>
  <c r="BD576" i="3"/>
  <c r="BE576" i="3"/>
  <c r="BF576" i="3"/>
  <c r="BG576" i="3"/>
  <c r="BH576" i="3"/>
  <c r="BI576" i="3"/>
  <c r="BJ576" i="3"/>
  <c r="BK576" i="3"/>
  <c r="BB577" i="3"/>
  <c r="BC577" i="3"/>
  <c r="BD577" i="3"/>
  <c r="BE577" i="3"/>
  <c r="BF577" i="3"/>
  <c r="BG577" i="3"/>
  <c r="BH577" i="3"/>
  <c r="BI577" i="3"/>
  <c r="BJ577" i="3"/>
  <c r="BK577" i="3"/>
  <c r="BA577" i="3"/>
  <c r="BB578" i="3"/>
  <c r="BC578" i="3"/>
  <c r="BA578" i="3" s="1"/>
  <c r="BD578" i="3"/>
  <c r="BE578" i="3"/>
  <c r="BF578" i="3"/>
  <c r="BG578" i="3"/>
  <c r="BH578" i="3"/>
  <c r="BI578" i="3"/>
  <c r="BJ578" i="3"/>
  <c r="BK578" i="3"/>
  <c r="BB579" i="3"/>
  <c r="BC579" i="3"/>
  <c r="BD579" i="3"/>
  <c r="BE579" i="3"/>
  <c r="BF579" i="3"/>
  <c r="BG579" i="3"/>
  <c r="BH579" i="3"/>
  <c r="BI579" i="3"/>
  <c r="BJ579" i="3"/>
  <c r="BK579" i="3"/>
  <c r="BA579" i="3"/>
  <c r="BB580" i="3"/>
  <c r="BC580" i="3"/>
  <c r="BA580" i="3" s="1"/>
  <c r="BD580" i="3"/>
  <c r="BE580" i="3"/>
  <c r="BF580" i="3"/>
  <c r="BG580" i="3"/>
  <c r="BH580" i="3"/>
  <c r="BI580" i="3"/>
  <c r="BJ580" i="3"/>
  <c r="BK580" i="3"/>
  <c r="BB581" i="3"/>
  <c r="BC581" i="3"/>
  <c r="BD581" i="3"/>
  <c r="BE581" i="3"/>
  <c r="BF581" i="3"/>
  <c r="BG581" i="3"/>
  <c r="BH581" i="3"/>
  <c r="BI581" i="3"/>
  <c r="BJ581" i="3"/>
  <c r="BK581" i="3"/>
  <c r="BA581" i="3"/>
  <c r="BB582" i="3"/>
  <c r="BC582" i="3"/>
  <c r="BA582" i="3" s="1"/>
  <c r="BD582" i="3"/>
  <c r="BE582" i="3"/>
  <c r="BF582" i="3"/>
  <c r="BG582" i="3"/>
  <c r="BH582" i="3"/>
  <c r="BI582" i="3"/>
  <c r="BJ582" i="3"/>
  <c r="BK582" i="3"/>
  <c r="BB583" i="3"/>
  <c r="BC583" i="3"/>
  <c r="BD583" i="3"/>
  <c r="BE583" i="3"/>
  <c r="BF583" i="3"/>
  <c r="BG583" i="3"/>
  <c r="BH583" i="3"/>
  <c r="BI583" i="3"/>
  <c r="BJ583" i="3"/>
  <c r="BK583" i="3"/>
  <c r="BA583" i="3"/>
  <c r="BB584" i="3"/>
  <c r="BC584" i="3"/>
  <c r="BA584" i="3" s="1"/>
  <c r="BD584" i="3"/>
  <c r="BE584" i="3"/>
  <c r="BF584" i="3"/>
  <c r="BG584" i="3"/>
  <c r="BH584" i="3"/>
  <c r="BI584" i="3"/>
  <c r="BJ584" i="3"/>
  <c r="BK584" i="3"/>
  <c r="BB585" i="3"/>
  <c r="BC585" i="3"/>
  <c r="BD585" i="3"/>
  <c r="BE585" i="3"/>
  <c r="BF585" i="3"/>
  <c r="BG585" i="3"/>
  <c r="BH585" i="3"/>
  <c r="BI585" i="3"/>
  <c r="BJ585" i="3"/>
  <c r="BK585" i="3"/>
  <c r="BA585" i="3"/>
  <c r="BB586" i="3"/>
  <c r="BC586" i="3"/>
  <c r="BA586" i="3" s="1"/>
  <c r="BD586" i="3"/>
  <c r="BE586" i="3"/>
  <c r="BF586" i="3"/>
  <c r="BG586" i="3"/>
  <c r="BH586" i="3"/>
  <c r="BI586" i="3"/>
  <c r="BJ586" i="3"/>
  <c r="BK586" i="3"/>
  <c r="BB587" i="3"/>
  <c r="BC587" i="3"/>
  <c r="BD587" i="3"/>
  <c r="BE587" i="3"/>
  <c r="BF587" i="3"/>
  <c r="BG587" i="3"/>
  <c r="BH587" i="3"/>
  <c r="BI587" i="3"/>
  <c r="BJ587" i="3"/>
  <c r="BK587" i="3"/>
  <c r="BA587" i="3"/>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6" i="43" s="1"/>
  <c r="C22" i="20"/>
  <c r="B75" i="43" s="1"/>
  <c r="B55" i="43"/>
  <c r="C25" i="40"/>
  <c r="S25" i="40"/>
  <c r="S29" i="39"/>
  <c r="S18" i="36"/>
  <c r="U18" i="36"/>
  <c r="S21" i="34"/>
  <c r="H25" i="40"/>
  <c r="AB25" i="40" s="1"/>
  <c r="J25" i="40"/>
  <c r="AC25" i="40" s="1"/>
  <c r="H29" i="39"/>
  <c r="AB29" i="39" s="1"/>
  <c r="J29" i="39"/>
  <c r="AC29" i="39" s="1"/>
  <c r="J18" i="36"/>
  <c r="AC18" i="36" s="1"/>
  <c r="H18" i="35"/>
  <c r="AB18" i="35" s="1"/>
  <c r="J18" i="35"/>
  <c r="F77" i="37"/>
  <c r="G77" i="37" s="1"/>
  <c r="H21" i="37"/>
  <c r="F21" i="37"/>
  <c r="AA21" i="37" s="1"/>
  <c r="H21" i="34"/>
  <c r="AB21" i="34" s="1"/>
  <c r="F83" i="33"/>
  <c r="E83" i="21"/>
  <c r="S21" i="21"/>
  <c r="H1" i="69"/>
  <c r="W25" i="40"/>
  <c r="U25" i="40"/>
  <c r="U29" i="39"/>
  <c r="W29" i="39"/>
  <c r="W18" i="36"/>
  <c r="AB21" i="37"/>
  <c r="U21" i="37"/>
  <c r="S21" i="37"/>
  <c r="U21" i="34"/>
  <c r="U21" i="33"/>
  <c r="S21" i="33"/>
  <c r="U18" i="35"/>
  <c r="AC18" i="35"/>
  <c r="W18" i="35"/>
  <c r="J21" i="37"/>
  <c r="AC21" i="37" s="1"/>
  <c r="J21" i="34"/>
  <c r="AC21" i="34" s="1"/>
  <c r="G83" i="33"/>
  <c r="F83" i="21"/>
  <c r="H21" i="21"/>
  <c r="F38" i="69"/>
  <c r="E37" i="69"/>
  <c r="F36" i="69"/>
  <c r="F35" i="69"/>
  <c r="F21" i="69"/>
  <c r="C21" i="69" s="1"/>
  <c r="F20" i="69"/>
  <c r="E10" i="69"/>
  <c r="E9" i="69"/>
  <c r="F7" i="69"/>
  <c r="C7" i="69"/>
  <c r="W21" i="37"/>
  <c r="W21" i="34"/>
  <c r="W21" i="33"/>
  <c r="AB21" i="21"/>
  <c r="U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E15" i="4"/>
  <c r="F6" i="1" s="1"/>
  <c r="F9" i="1"/>
  <c r="F10" i="1"/>
  <c r="F11" i="1"/>
  <c r="F12" i="1"/>
  <c r="F13" i="1"/>
  <c r="D9" i="1"/>
  <c r="D10" i="1"/>
  <c r="D11" i="1"/>
  <c r="D12" i="1"/>
  <c r="D13" i="1"/>
  <c r="D7" i="1"/>
  <c r="D8" i="1"/>
  <c r="B7" i="1"/>
  <c r="E7" i="1" s="1"/>
  <c r="A8" i="1"/>
  <c r="B8" i="1" s="1"/>
  <c r="E8" i="1" s="1"/>
  <c r="A9" i="1"/>
  <c r="A10" i="1"/>
  <c r="A11" i="1"/>
  <c r="A12" i="1"/>
  <c r="A13" i="1"/>
  <c r="B11" i="1"/>
  <c r="E11" i="1" s="1"/>
  <c r="K10" i="1"/>
  <c r="B13" i="1"/>
  <c r="E13" i="1"/>
  <c r="K13" i="1"/>
  <c r="G79" i="36"/>
  <c r="G85" i="35"/>
  <c r="G97" i="37"/>
  <c r="G110" i="34"/>
  <c r="G111" i="21"/>
  <c r="G109" i="33"/>
  <c r="D23" i="31"/>
  <c r="L2" i="31"/>
  <c r="K2" i="31"/>
  <c r="J2" i="31"/>
  <c r="I2" i="31"/>
  <c r="H2" i="31"/>
  <c r="G2" i="31"/>
  <c r="F2" i="31"/>
  <c r="E2" i="31"/>
  <c r="D2" i="31"/>
  <c r="C2" i="31"/>
  <c r="D46" i="15"/>
  <c r="BP112" i="3"/>
  <c r="BO112" i="3"/>
  <c r="BN112" i="3"/>
  <c r="BM112" i="3"/>
  <c r="BL112" i="3"/>
  <c r="AZ112" i="3" s="1"/>
  <c r="AX112" i="3"/>
  <c r="AW112" i="3"/>
  <c r="AV112" i="3"/>
  <c r="AC112" i="3"/>
  <c r="H112" i="3"/>
  <c r="G112" i="3" s="1"/>
  <c r="BP111" i="3"/>
  <c r="BO111" i="3"/>
  <c r="BN111" i="3"/>
  <c r="BM111" i="3"/>
  <c r="BL111" i="3"/>
  <c r="AX111" i="3"/>
  <c r="AW111" i="3"/>
  <c r="AV111" i="3"/>
  <c r="AC111" i="3"/>
  <c r="H111" i="3"/>
  <c r="G111" i="3"/>
  <c r="BP110" i="3"/>
  <c r="BO110" i="3"/>
  <c r="BN110" i="3"/>
  <c r="BM110" i="3"/>
  <c r="BL110" i="3" s="1"/>
  <c r="AX110" i="3"/>
  <c r="AW110" i="3"/>
  <c r="AV110" i="3"/>
  <c r="AC110" i="3"/>
  <c r="H110" i="3"/>
  <c r="G110" i="3" s="1"/>
  <c r="BP109" i="3"/>
  <c r="BO109" i="3"/>
  <c r="BN109" i="3"/>
  <c r="BM109" i="3"/>
  <c r="BL109" i="3"/>
  <c r="AX109" i="3"/>
  <c r="AW109" i="3"/>
  <c r="AV109" i="3"/>
  <c r="AC109" i="3"/>
  <c r="H109" i="3"/>
  <c r="G109" i="3"/>
  <c r="BP108" i="3"/>
  <c r="BO108" i="3"/>
  <c r="BN108" i="3"/>
  <c r="BM108" i="3"/>
  <c r="BL108" i="3" s="1"/>
  <c r="AZ108" i="3" s="1"/>
  <c r="AX108" i="3"/>
  <c r="AW108" i="3"/>
  <c r="AV108" i="3"/>
  <c r="AC108" i="3"/>
  <c r="H108" i="3"/>
  <c r="G108" i="3"/>
  <c r="BP107" i="3"/>
  <c r="BO107" i="3"/>
  <c r="BN107" i="3"/>
  <c r="BM107" i="3"/>
  <c r="BL107" i="3" s="1"/>
  <c r="AX107" i="3"/>
  <c r="AW107" i="3"/>
  <c r="AV107" i="3"/>
  <c r="AC107" i="3"/>
  <c r="H107" i="3"/>
  <c r="G107" i="3" s="1"/>
  <c r="BP106" i="3"/>
  <c r="BO106" i="3"/>
  <c r="BN106" i="3"/>
  <c r="BM106" i="3"/>
  <c r="BL106" i="3"/>
  <c r="AZ106" i="3" s="1"/>
  <c r="AX106" i="3"/>
  <c r="AW106" i="3"/>
  <c r="AV106" i="3"/>
  <c r="AC106" i="3"/>
  <c r="H106" i="3"/>
  <c r="G106" i="3" s="1"/>
  <c r="BP105" i="3"/>
  <c r="BO105" i="3"/>
  <c r="BN105" i="3"/>
  <c r="BM105" i="3"/>
  <c r="BL105" i="3"/>
  <c r="AX105" i="3"/>
  <c r="AW105" i="3"/>
  <c r="AV105" i="3"/>
  <c r="AC105" i="3"/>
  <c r="H105" i="3"/>
  <c r="G105" i="3"/>
  <c r="BP104" i="3"/>
  <c r="BO104" i="3"/>
  <c r="BN104" i="3"/>
  <c r="BM104" i="3"/>
  <c r="BL104" i="3" s="1"/>
  <c r="AZ104" i="3" s="1"/>
  <c r="AX104" i="3"/>
  <c r="AW104" i="3"/>
  <c r="AV104" i="3"/>
  <c r="AC104" i="3"/>
  <c r="H104" i="3"/>
  <c r="G104" i="3"/>
  <c r="BP103" i="3"/>
  <c r="BO103" i="3"/>
  <c r="BN103" i="3"/>
  <c r="BM103" i="3"/>
  <c r="BL103" i="3" s="1"/>
  <c r="AZ103" i="3" s="1"/>
  <c r="AX103" i="3"/>
  <c r="AW103" i="3"/>
  <c r="AV103" i="3"/>
  <c r="AC103" i="3"/>
  <c r="H103" i="3"/>
  <c r="G103" i="3"/>
  <c r="BP102" i="3"/>
  <c r="BO102" i="3"/>
  <c r="BN102" i="3"/>
  <c r="BM102" i="3"/>
  <c r="BL102" i="3" s="1"/>
  <c r="AX102" i="3"/>
  <c r="AW102" i="3"/>
  <c r="AV102" i="3"/>
  <c r="AC102" i="3"/>
  <c r="H102" i="3"/>
  <c r="G102" i="3" s="1"/>
  <c r="BP101" i="3"/>
  <c r="BO101" i="3"/>
  <c r="BN101" i="3"/>
  <c r="BM101" i="3"/>
  <c r="BL101" i="3"/>
  <c r="AX101" i="3"/>
  <c r="AW101" i="3"/>
  <c r="AV101" i="3"/>
  <c r="AC101" i="3"/>
  <c r="H101" i="3"/>
  <c r="G101" i="3"/>
  <c r="BP100" i="3"/>
  <c r="BO100" i="3"/>
  <c r="BN100" i="3"/>
  <c r="BM100" i="3"/>
  <c r="BL100" i="3" s="1"/>
  <c r="AZ100" i="3" s="1"/>
  <c r="AX100" i="3"/>
  <c r="AW100" i="3"/>
  <c r="AV100" i="3"/>
  <c r="AC100" i="3"/>
  <c r="H100" i="3"/>
  <c r="G100" i="3"/>
  <c r="BP99" i="3"/>
  <c r="BO99" i="3"/>
  <c r="BN99" i="3"/>
  <c r="BM99" i="3"/>
  <c r="BL99" i="3" s="1"/>
  <c r="AZ99" i="3" s="1"/>
  <c r="AX99" i="3"/>
  <c r="AW99" i="3"/>
  <c r="AV99" i="3"/>
  <c r="AC99" i="3"/>
  <c r="H99" i="3"/>
  <c r="G99" i="3"/>
  <c r="BP98" i="3"/>
  <c r="BO98" i="3"/>
  <c r="BN98" i="3"/>
  <c r="BM98" i="3"/>
  <c r="BL98" i="3" s="1"/>
  <c r="AZ98" i="3" s="1"/>
  <c r="AX98" i="3"/>
  <c r="AW98" i="3"/>
  <c r="AV98" i="3"/>
  <c r="AC98" i="3"/>
  <c r="H98" i="3"/>
  <c r="G98" i="3"/>
  <c r="BP97" i="3"/>
  <c r="BO97" i="3"/>
  <c r="BN97" i="3"/>
  <c r="BM97" i="3"/>
  <c r="BL97" i="3" s="1"/>
  <c r="AX97" i="3"/>
  <c r="AW97" i="3"/>
  <c r="AV97" i="3"/>
  <c r="AC97" i="3"/>
  <c r="H97" i="3"/>
  <c r="G97" i="3" s="1"/>
  <c r="BP96" i="3"/>
  <c r="BO96" i="3"/>
  <c r="BN96" i="3"/>
  <c r="BM96" i="3"/>
  <c r="BL96" i="3"/>
  <c r="AZ96" i="3" s="1"/>
  <c r="AX96" i="3"/>
  <c r="AW96" i="3"/>
  <c r="AV96" i="3"/>
  <c r="AC96" i="3"/>
  <c r="H96" i="3"/>
  <c r="G96" i="3" s="1"/>
  <c r="BP95" i="3"/>
  <c r="BO95" i="3"/>
  <c r="BN95" i="3"/>
  <c r="BM95" i="3"/>
  <c r="BL95" i="3"/>
  <c r="AZ95" i="3" s="1"/>
  <c r="AX95" i="3"/>
  <c r="AW95" i="3"/>
  <c r="AV95" i="3"/>
  <c r="AC95" i="3"/>
  <c r="H95" i="3"/>
  <c r="G95" i="3" s="1"/>
  <c r="BP94" i="3"/>
  <c r="BO94" i="3"/>
  <c r="BN94" i="3"/>
  <c r="BM94" i="3"/>
  <c r="BL94" i="3"/>
  <c r="AX94" i="3"/>
  <c r="AW94" i="3"/>
  <c r="AV94" i="3"/>
  <c r="AC94" i="3"/>
  <c r="H94" i="3"/>
  <c r="G94" i="3"/>
  <c r="BP93" i="3"/>
  <c r="BO93" i="3"/>
  <c r="BN93" i="3"/>
  <c r="BM93" i="3"/>
  <c r="BL93" i="3" s="1"/>
  <c r="AX93" i="3"/>
  <c r="AW93" i="3"/>
  <c r="AV93" i="3"/>
  <c r="AC93" i="3"/>
  <c r="H93" i="3"/>
  <c r="G93" i="3" s="1"/>
  <c r="BP92" i="3"/>
  <c r="BO92" i="3"/>
  <c r="BN92" i="3"/>
  <c r="BM92" i="3"/>
  <c r="BL92" i="3"/>
  <c r="AZ92" i="3" s="1"/>
  <c r="AX92" i="3"/>
  <c r="AW92" i="3"/>
  <c r="AV92" i="3"/>
  <c r="AC92" i="3"/>
  <c r="H92" i="3"/>
  <c r="G92" i="3" s="1"/>
  <c r="BP91" i="3"/>
  <c r="BO91" i="3"/>
  <c r="BN91" i="3"/>
  <c r="BM91" i="3"/>
  <c r="BL91" i="3"/>
  <c r="AZ91" i="3" s="1"/>
  <c r="AX91" i="3"/>
  <c r="AW91" i="3"/>
  <c r="AV91" i="3"/>
  <c r="AC91" i="3"/>
  <c r="H91" i="3"/>
  <c r="G91" i="3" s="1"/>
  <c r="BP90" i="3"/>
  <c r="BO90" i="3"/>
  <c r="BN90" i="3"/>
  <c r="BM90" i="3"/>
  <c r="BL90" i="3"/>
  <c r="AZ90" i="3" s="1"/>
  <c r="AX90" i="3"/>
  <c r="AW90" i="3"/>
  <c r="AV90" i="3"/>
  <c r="AC90" i="3"/>
  <c r="H90" i="3"/>
  <c r="G90" i="3" s="1"/>
  <c r="BP89" i="3"/>
  <c r="BO89" i="3"/>
  <c r="BN89" i="3"/>
  <c r="BM89" i="3"/>
  <c r="BL89" i="3"/>
  <c r="AX89" i="3"/>
  <c r="AW89" i="3"/>
  <c r="AV89" i="3"/>
  <c r="AC89" i="3"/>
  <c r="H89" i="3"/>
  <c r="G89" i="3"/>
  <c r="BP88" i="3"/>
  <c r="BO88" i="3"/>
  <c r="BN88" i="3"/>
  <c r="BM88" i="3"/>
  <c r="BL88" i="3" s="1"/>
  <c r="AX88" i="3"/>
  <c r="AW88" i="3"/>
  <c r="AV88" i="3"/>
  <c r="AC88" i="3"/>
  <c r="H88" i="3"/>
  <c r="G88" i="3" s="1"/>
  <c r="BP87" i="3"/>
  <c r="BO87" i="3"/>
  <c r="BN87" i="3"/>
  <c r="BM87" i="3"/>
  <c r="BL87" i="3"/>
  <c r="AZ87" i="3" s="1"/>
  <c r="AX87" i="3"/>
  <c r="AW87" i="3"/>
  <c r="AV87" i="3"/>
  <c r="AC87" i="3"/>
  <c r="H87" i="3"/>
  <c r="G87" i="3" s="1"/>
  <c r="BP86" i="3"/>
  <c r="BO86" i="3"/>
  <c r="BN86" i="3"/>
  <c r="BM86" i="3"/>
  <c r="BL86" i="3"/>
  <c r="AX86" i="3"/>
  <c r="AW86" i="3"/>
  <c r="AV86" i="3"/>
  <c r="AC86" i="3"/>
  <c r="H86" i="3"/>
  <c r="G86" i="3"/>
  <c r="BP85" i="3"/>
  <c r="BO85" i="3"/>
  <c r="BN85" i="3"/>
  <c r="BM85" i="3"/>
  <c r="BL85" i="3" s="1"/>
  <c r="AX85" i="3"/>
  <c r="AW85" i="3"/>
  <c r="AV85" i="3"/>
  <c r="AC85" i="3"/>
  <c r="H85" i="3"/>
  <c r="G85" i="3" s="1"/>
  <c r="BP84" i="3"/>
  <c r="BO84" i="3"/>
  <c r="BN84" i="3"/>
  <c r="BM84" i="3"/>
  <c r="BL84" i="3"/>
  <c r="AX84" i="3"/>
  <c r="AW84" i="3"/>
  <c r="AV84" i="3"/>
  <c r="AC84" i="3"/>
  <c r="H84" i="3"/>
  <c r="G84" i="3"/>
  <c r="BP83" i="3"/>
  <c r="BO83" i="3"/>
  <c r="BN83" i="3"/>
  <c r="BM83" i="3"/>
  <c r="BL83" i="3" s="1"/>
  <c r="AX83" i="3"/>
  <c r="AW83" i="3"/>
  <c r="AV83" i="3"/>
  <c r="AC83" i="3"/>
  <c r="H83" i="3"/>
  <c r="G83" i="3" s="1"/>
  <c r="BP82" i="3"/>
  <c r="BO82" i="3"/>
  <c r="BN82" i="3"/>
  <c r="BM82" i="3"/>
  <c r="BL82" i="3"/>
  <c r="AX82" i="3"/>
  <c r="AW82" i="3"/>
  <c r="AV82" i="3"/>
  <c r="AC82" i="3"/>
  <c r="H82" i="3"/>
  <c r="G82" i="3"/>
  <c r="BP81" i="3"/>
  <c r="BO81" i="3"/>
  <c r="BN81" i="3"/>
  <c r="BM81" i="3"/>
  <c r="BL81" i="3" s="1"/>
  <c r="AZ81" i="3" s="1"/>
  <c r="AX81" i="3"/>
  <c r="AW81" i="3"/>
  <c r="AV81" i="3"/>
  <c r="AC81" i="3"/>
  <c r="H81" i="3"/>
  <c r="G81" i="3"/>
  <c r="BP80" i="3"/>
  <c r="BO80" i="3"/>
  <c r="BN80" i="3"/>
  <c r="BM80" i="3"/>
  <c r="BL80" i="3" s="1"/>
  <c r="AX80" i="3"/>
  <c r="AW80" i="3"/>
  <c r="AV80" i="3"/>
  <c r="AC80" i="3"/>
  <c r="H80" i="3"/>
  <c r="G80" i="3" s="1"/>
  <c r="BP79" i="3"/>
  <c r="BO79" i="3"/>
  <c r="BN79" i="3"/>
  <c r="BM79" i="3"/>
  <c r="BL79" i="3"/>
  <c r="AX79" i="3"/>
  <c r="AW79" i="3"/>
  <c r="AV79" i="3"/>
  <c r="AC79" i="3"/>
  <c r="H79" i="3"/>
  <c r="G79" i="3"/>
  <c r="BP78" i="3"/>
  <c r="BO78" i="3"/>
  <c r="BN78" i="3"/>
  <c r="BM78" i="3"/>
  <c r="BL78" i="3" s="1"/>
  <c r="AZ78" i="3" s="1"/>
  <c r="AX78" i="3"/>
  <c r="AW78" i="3"/>
  <c r="AV78" i="3"/>
  <c r="AC78" i="3"/>
  <c r="H78" i="3"/>
  <c r="G78" i="3"/>
  <c r="BP77" i="3"/>
  <c r="BO77" i="3"/>
  <c r="BN77" i="3"/>
  <c r="BM77" i="3"/>
  <c r="BL77" i="3" s="1"/>
  <c r="AX77" i="3"/>
  <c r="AW77" i="3"/>
  <c r="AV77" i="3"/>
  <c r="AC77" i="3"/>
  <c r="H77" i="3"/>
  <c r="G77" i="3" s="1"/>
  <c r="BP76" i="3"/>
  <c r="BO76" i="3"/>
  <c r="BN76" i="3"/>
  <c r="BM76" i="3"/>
  <c r="BL76" i="3"/>
  <c r="AZ76" i="3" s="1"/>
  <c r="AX76" i="3"/>
  <c r="AW76" i="3"/>
  <c r="AV76" i="3"/>
  <c r="AC76" i="3"/>
  <c r="H76" i="3"/>
  <c r="G76" i="3" s="1"/>
  <c r="BP75" i="3"/>
  <c r="BO75" i="3"/>
  <c r="BN75" i="3"/>
  <c r="BM75" i="3"/>
  <c r="BL75" i="3"/>
  <c r="AX75" i="3"/>
  <c r="AW75" i="3"/>
  <c r="AV75" i="3"/>
  <c r="AC75" i="3"/>
  <c r="H75" i="3"/>
  <c r="G75" i="3"/>
  <c r="BP74" i="3"/>
  <c r="BO74" i="3"/>
  <c r="BN74" i="3"/>
  <c r="BM74" i="3"/>
  <c r="BL74" i="3" s="1"/>
  <c r="AX74" i="3"/>
  <c r="AW74" i="3"/>
  <c r="AV74" i="3"/>
  <c r="AC74" i="3"/>
  <c r="H74" i="3"/>
  <c r="G74" i="3" s="1"/>
  <c r="BP73" i="3"/>
  <c r="BO73" i="3"/>
  <c r="BN73" i="3"/>
  <c r="BM73" i="3"/>
  <c r="BL73" i="3"/>
  <c r="AZ73" i="3" s="1"/>
  <c r="AX73" i="3"/>
  <c r="AW73" i="3"/>
  <c r="AV73" i="3"/>
  <c r="AC73" i="3"/>
  <c r="H73" i="3"/>
  <c r="G73" i="3" s="1"/>
  <c r="BP72" i="3"/>
  <c r="BO72" i="3"/>
  <c r="BN72" i="3"/>
  <c r="BM72" i="3"/>
  <c r="BL72" i="3"/>
  <c r="AX72" i="3"/>
  <c r="AW72" i="3"/>
  <c r="AV72" i="3"/>
  <c r="AC72" i="3"/>
  <c r="H72" i="3"/>
  <c r="G72" i="3"/>
  <c r="BP71" i="3"/>
  <c r="BO71" i="3"/>
  <c r="BN71" i="3"/>
  <c r="BM71" i="3"/>
  <c r="BL71" i="3" s="1"/>
  <c r="AX71" i="3"/>
  <c r="AW71" i="3"/>
  <c r="AV71" i="3"/>
  <c r="AC71" i="3"/>
  <c r="H71" i="3"/>
  <c r="G71" i="3" s="1"/>
  <c r="BP70" i="3"/>
  <c r="BO70" i="3"/>
  <c r="BN70" i="3"/>
  <c r="BM70" i="3"/>
  <c r="BL70" i="3"/>
  <c r="AZ70" i="3" s="1"/>
  <c r="AX70" i="3"/>
  <c r="AW70" i="3"/>
  <c r="AV70" i="3"/>
  <c r="AC70" i="3"/>
  <c r="H70" i="3"/>
  <c r="G70" i="3" s="1"/>
  <c r="BP69" i="3"/>
  <c r="BO69" i="3"/>
  <c r="BN69" i="3"/>
  <c r="BM69" i="3"/>
  <c r="BL69" i="3"/>
  <c r="AX69" i="3"/>
  <c r="AW69" i="3"/>
  <c r="AV69" i="3"/>
  <c r="AC69" i="3"/>
  <c r="H69" i="3"/>
  <c r="G69" i="3"/>
  <c r="BP68" i="3"/>
  <c r="BO68" i="3"/>
  <c r="BN68" i="3"/>
  <c r="BM68" i="3"/>
  <c r="BL68" i="3" s="1"/>
  <c r="AZ68" i="3" s="1"/>
  <c r="AX68" i="3"/>
  <c r="AW68" i="3"/>
  <c r="AV68" i="3"/>
  <c r="AC68" i="3"/>
  <c r="H68" i="3"/>
  <c r="G68" i="3"/>
  <c r="BP67" i="3"/>
  <c r="BO67" i="3"/>
  <c r="BN67" i="3"/>
  <c r="BM67" i="3"/>
  <c r="BL67" i="3" s="1"/>
  <c r="AX67" i="3"/>
  <c r="AW67" i="3"/>
  <c r="AV67" i="3"/>
  <c r="AC67" i="3"/>
  <c r="H67" i="3"/>
  <c r="G67" i="3" s="1"/>
  <c r="BP66" i="3"/>
  <c r="BO66" i="3"/>
  <c r="BN66" i="3"/>
  <c r="BM66" i="3"/>
  <c r="BL66" i="3"/>
  <c r="AX66" i="3"/>
  <c r="AW66" i="3"/>
  <c r="AV66" i="3"/>
  <c r="AC66" i="3"/>
  <c r="H66" i="3"/>
  <c r="G66" i="3"/>
  <c r="BP65" i="3"/>
  <c r="BO65" i="3"/>
  <c r="BN65" i="3"/>
  <c r="BM65" i="3"/>
  <c r="BL65" i="3" s="1"/>
  <c r="AZ65" i="3" s="1"/>
  <c r="AX65" i="3"/>
  <c r="AW65" i="3"/>
  <c r="AV65" i="3"/>
  <c r="AC65" i="3"/>
  <c r="H65" i="3"/>
  <c r="G65" i="3"/>
  <c r="BP64" i="3"/>
  <c r="BO64" i="3"/>
  <c r="BN64" i="3"/>
  <c r="BM64" i="3"/>
  <c r="BL64" i="3" s="1"/>
  <c r="AZ64" i="3" s="1"/>
  <c r="AX64" i="3"/>
  <c r="AW64" i="3"/>
  <c r="AV64" i="3"/>
  <c r="AC64" i="3"/>
  <c r="H64" i="3"/>
  <c r="G64" i="3"/>
  <c r="BP63" i="3"/>
  <c r="BO63" i="3"/>
  <c r="BN63" i="3"/>
  <c r="BM63" i="3"/>
  <c r="BL63" i="3" s="1"/>
  <c r="AX63" i="3"/>
  <c r="AW63" i="3"/>
  <c r="AV63" i="3"/>
  <c r="AC63" i="3"/>
  <c r="H63" i="3"/>
  <c r="G63" i="3" s="1"/>
  <c r="BP62" i="3"/>
  <c r="BO62" i="3"/>
  <c r="BN62" i="3"/>
  <c r="BM62" i="3"/>
  <c r="BL62" i="3"/>
  <c r="AZ62" i="3" s="1"/>
  <c r="AX62" i="3"/>
  <c r="AW62" i="3"/>
  <c r="AV62" i="3"/>
  <c r="AC62" i="3"/>
  <c r="H62" i="3"/>
  <c r="G62" i="3" s="1"/>
  <c r="BP61" i="3"/>
  <c r="BO61" i="3"/>
  <c r="BN61" i="3"/>
  <c r="BM61" i="3"/>
  <c r="BL61" i="3"/>
  <c r="AX61" i="3"/>
  <c r="AW61" i="3"/>
  <c r="AV61" i="3"/>
  <c r="AC61" i="3"/>
  <c r="H61" i="3"/>
  <c r="G61" i="3"/>
  <c r="BP60" i="3"/>
  <c r="BO60" i="3"/>
  <c r="BN60" i="3"/>
  <c r="BM60" i="3"/>
  <c r="BL60" i="3" s="1"/>
  <c r="AZ60" i="3" s="1"/>
  <c r="AX60" i="3"/>
  <c r="AW60" i="3"/>
  <c r="AV60" i="3"/>
  <c r="AC60" i="3"/>
  <c r="H60" i="3"/>
  <c r="G60" i="3"/>
  <c r="BP59" i="3"/>
  <c r="BO59" i="3"/>
  <c r="BN59" i="3"/>
  <c r="BM59" i="3"/>
  <c r="BL59" i="3" s="1"/>
  <c r="AX59" i="3"/>
  <c r="AW59" i="3"/>
  <c r="AV59" i="3"/>
  <c r="AC59" i="3"/>
  <c r="H59" i="3"/>
  <c r="G59" i="3" s="1"/>
  <c r="BP58" i="3"/>
  <c r="BO58" i="3"/>
  <c r="BN58" i="3"/>
  <c r="BM58" i="3"/>
  <c r="BL58" i="3"/>
  <c r="AX58" i="3"/>
  <c r="AW58" i="3"/>
  <c r="AV58" i="3"/>
  <c r="AC58" i="3"/>
  <c r="H58" i="3"/>
  <c r="G58" i="3"/>
  <c r="BP57" i="3"/>
  <c r="BO57" i="3"/>
  <c r="BN57" i="3"/>
  <c r="BM57" i="3"/>
  <c r="BL57" i="3" s="1"/>
  <c r="AZ57" i="3" s="1"/>
  <c r="AX57" i="3"/>
  <c r="AW57" i="3"/>
  <c r="AV57" i="3"/>
  <c r="AC57" i="3"/>
  <c r="H57" i="3"/>
  <c r="G57" i="3"/>
  <c r="BP56" i="3"/>
  <c r="BO56" i="3"/>
  <c r="BN56" i="3"/>
  <c r="BM56" i="3"/>
  <c r="BL56" i="3" s="1"/>
  <c r="AZ56" i="3" s="1"/>
  <c r="AX56" i="3"/>
  <c r="AW56" i="3"/>
  <c r="AV56" i="3"/>
  <c r="AC56" i="3"/>
  <c r="H56" i="3"/>
  <c r="G56" i="3"/>
  <c r="BP55" i="3"/>
  <c r="BO55" i="3"/>
  <c r="BN55" i="3"/>
  <c r="BM55" i="3"/>
  <c r="BL55" i="3" s="1"/>
  <c r="AX55" i="3"/>
  <c r="AW55" i="3"/>
  <c r="AV55" i="3"/>
  <c r="AC55" i="3"/>
  <c r="H55" i="3"/>
  <c r="G55" i="3" s="1"/>
  <c r="BP54" i="3"/>
  <c r="BO54" i="3"/>
  <c r="BN54" i="3"/>
  <c r="BM54" i="3"/>
  <c r="BL54" i="3"/>
  <c r="AZ54" i="3" s="1"/>
  <c r="AX54" i="3"/>
  <c r="AW54" i="3"/>
  <c r="AV54" i="3"/>
  <c r="AC54" i="3"/>
  <c r="H54" i="3"/>
  <c r="G54" i="3" s="1"/>
  <c r="BP53" i="3"/>
  <c r="BO53" i="3"/>
  <c r="BN53" i="3"/>
  <c r="BM53" i="3"/>
  <c r="BL53" i="3"/>
  <c r="AX53" i="3"/>
  <c r="AW53" i="3"/>
  <c r="AV53" i="3"/>
  <c r="AC53" i="3"/>
  <c r="H53" i="3"/>
  <c r="G53" i="3"/>
  <c r="BP52" i="3"/>
  <c r="BO52" i="3"/>
  <c r="BN52" i="3"/>
  <c r="BM52" i="3"/>
  <c r="BL52" i="3" s="1"/>
  <c r="AZ52" i="3" s="1"/>
  <c r="AX52" i="3"/>
  <c r="AW52" i="3"/>
  <c r="AV52" i="3"/>
  <c r="AC52" i="3"/>
  <c r="H52" i="3"/>
  <c r="G52" i="3"/>
  <c r="BP51" i="3"/>
  <c r="BO51" i="3"/>
  <c r="BN51" i="3"/>
  <c r="BM51" i="3"/>
  <c r="BL51" i="3" s="1"/>
  <c r="AX51" i="3"/>
  <c r="AW51" i="3"/>
  <c r="AV51" i="3"/>
  <c r="AC51" i="3"/>
  <c r="H51" i="3"/>
  <c r="G51" i="3" s="1"/>
  <c r="BP50" i="3"/>
  <c r="BO50" i="3"/>
  <c r="BN50" i="3"/>
  <c r="BM50" i="3"/>
  <c r="BL50" i="3"/>
  <c r="AX50" i="3"/>
  <c r="AW50" i="3"/>
  <c r="AV50" i="3"/>
  <c r="AC50" i="3"/>
  <c r="H50" i="3"/>
  <c r="G50" i="3"/>
  <c r="BP49" i="3"/>
  <c r="BO49" i="3"/>
  <c r="BN49" i="3"/>
  <c r="BM49" i="3"/>
  <c r="BL49" i="3" s="1"/>
  <c r="AZ49" i="3" s="1"/>
  <c r="AX49" i="3"/>
  <c r="AW49" i="3"/>
  <c r="AV49" i="3"/>
  <c r="AC49" i="3"/>
  <c r="H49" i="3"/>
  <c r="G49" i="3"/>
  <c r="BP48" i="3"/>
  <c r="BO48" i="3"/>
  <c r="BN48" i="3"/>
  <c r="BM48" i="3"/>
  <c r="BL48" i="3" s="1"/>
  <c r="AZ48" i="3" s="1"/>
  <c r="AX48" i="3"/>
  <c r="AW48" i="3"/>
  <c r="AV48" i="3"/>
  <c r="AC48" i="3"/>
  <c r="H48" i="3"/>
  <c r="G48" i="3"/>
  <c r="BP47" i="3"/>
  <c r="BO47" i="3"/>
  <c r="BN47" i="3"/>
  <c r="BM47" i="3"/>
  <c r="BL47" i="3" s="1"/>
  <c r="AX47" i="3"/>
  <c r="AW47" i="3"/>
  <c r="AV47" i="3"/>
  <c r="AC47" i="3"/>
  <c r="H47" i="3"/>
  <c r="G47" i="3" s="1"/>
  <c r="BP46" i="3"/>
  <c r="BO46" i="3"/>
  <c r="BN46" i="3"/>
  <c r="BM46" i="3"/>
  <c r="BL46" i="3"/>
  <c r="AZ46" i="3" s="1"/>
  <c r="AX46" i="3"/>
  <c r="AW46" i="3"/>
  <c r="AV46" i="3"/>
  <c r="AC46" i="3"/>
  <c r="H46" i="3"/>
  <c r="G46" i="3" s="1"/>
  <c r="BP45" i="3"/>
  <c r="BO45" i="3"/>
  <c r="BN45" i="3"/>
  <c r="BM45" i="3"/>
  <c r="BL45" i="3"/>
  <c r="AX45" i="3"/>
  <c r="AW45" i="3"/>
  <c r="AV45" i="3"/>
  <c r="AC45" i="3"/>
  <c r="H45" i="3"/>
  <c r="G45" i="3"/>
  <c r="BP44" i="3"/>
  <c r="BO44" i="3"/>
  <c r="BN44" i="3"/>
  <c r="BM44" i="3"/>
  <c r="BL44" i="3" s="1"/>
  <c r="AZ44" i="3" s="1"/>
  <c r="AX44" i="3"/>
  <c r="AW44" i="3"/>
  <c r="AV44" i="3"/>
  <c r="AC44" i="3"/>
  <c r="H44" i="3"/>
  <c r="G44" i="3"/>
  <c r="BP43" i="3"/>
  <c r="BO43" i="3"/>
  <c r="BN43" i="3"/>
  <c r="BM43" i="3"/>
  <c r="BL43" i="3" s="1"/>
  <c r="AX43" i="3"/>
  <c r="AW43" i="3"/>
  <c r="AV43" i="3"/>
  <c r="AC43" i="3"/>
  <c r="H43" i="3"/>
  <c r="G43" i="3" s="1"/>
  <c r="BP42" i="3"/>
  <c r="BO42" i="3"/>
  <c r="BN42" i="3"/>
  <c r="BM42" i="3"/>
  <c r="BL42" i="3"/>
  <c r="AX42" i="3"/>
  <c r="AW42" i="3"/>
  <c r="AV42" i="3"/>
  <c r="AC42" i="3"/>
  <c r="H42" i="3"/>
  <c r="G42" i="3"/>
  <c r="BP41" i="3"/>
  <c r="BO41" i="3"/>
  <c r="BN41" i="3"/>
  <c r="BM41" i="3"/>
  <c r="BL41" i="3" s="1"/>
  <c r="AX41" i="3"/>
  <c r="AW41" i="3"/>
  <c r="AV41" i="3"/>
  <c r="AC41" i="3"/>
  <c r="H41" i="3"/>
  <c r="G41" i="3" s="1"/>
  <c r="BP40" i="3"/>
  <c r="BO40" i="3"/>
  <c r="BN40" i="3"/>
  <c r="BM40" i="3"/>
  <c r="BL40" i="3"/>
  <c r="AZ40" i="3" s="1"/>
  <c r="AX40" i="3"/>
  <c r="AW40" i="3"/>
  <c r="AV40" i="3"/>
  <c r="AC40" i="3"/>
  <c r="H40" i="3"/>
  <c r="G40" i="3" s="1"/>
  <c r="BP39" i="3"/>
  <c r="BO39" i="3"/>
  <c r="BN39" i="3"/>
  <c r="BM39" i="3"/>
  <c r="BL39" i="3"/>
  <c r="AX39" i="3"/>
  <c r="AW39" i="3"/>
  <c r="AV39" i="3"/>
  <c r="AC39" i="3"/>
  <c r="H39" i="3"/>
  <c r="G39" i="3"/>
  <c r="BP38" i="3"/>
  <c r="BO38" i="3"/>
  <c r="BN38" i="3"/>
  <c r="BM38" i="3"/>
  <c r="BL38" i="3" s="1"/>
  <c r="AZ38" i="3" s="1"/>
  <c r="AX38" i="3"/>
  <c r="AW38" i="3"/>
  <c r="AV38" i="3"/>
  <c r="AC38" i="3"/>
  <c r="H38" i="3"/>
  <c r="G38" i="3"/>
  <c r="BP37" i="3"/>
  <c r="BO37" i="3"/>
  <c r="BN37" i="3"/>
  <c r="BM37" i="3"/>
  <c r="BL37" i="3" s="1"/>
  <c r="AX37" i="3"/>
  <c r="AW37" i="3"/>
  <c r="AV37" i="3"/>
  <c r="AC37" i="3"/>
  <c r="H37" i="3"/>
  <c r="G37" i="3" s="1"/>
  <c r="BP36" i="3"/>
  <c r="BO36" i="3"/>
  <c r="BN36" i="3"/>
  <c r="BM36" i="3"/>
  <c r="BL36" i="3"/>
  <c r="AZ36" i="3" s="1"/>
  <c r="AX36" i="3"/>
  <c r="AW36" i="3"/>
  <c r="AV36" i="3"/>
  <c r="AC36" i="3"/>
  <c r="H36" i="3"/>
  <c r="G36" i="3" s="1"/>
  <c r="BP35" i="3"/>
  <c r="BO35" i="3"/>
  <c r="BN35" i="3"/>
  <c r="BM35" i="3"/>
  <c r="BL35" i="3"/>
  <c r="AX35" i="3"/>
  <c r="AW35" i="3"/>
  <c r="AV35" i="3"/>
  <c r="AC35" i="3"/>
  <c r="H35" i="3"/>
  <c r="G35" i="3"/>
  <c r="BP34" i="3"/>
  <c r="BO34" i="3"/>
  <c r="BN34" i="3"/>
  <c r="BM34" i="3"/>
  <c r="BL34" i="3" s="1"/>
  <c r="AZ34" i="3" s="1"/>
  <c r="AX34" i="3"/>
  <c r="AW34" i="3"/>
  <c r="AV34" i="3"/>
  <c r="AC34" i="3"/>
  <c r="H34" i="3"/>
  <c r="G34" i="3"/>
  <c r="BP33" i="3"/>
  <c r="BO33" i="3"/>
  <c r="BN33" i="3"/>
  <c r="BM33" i="3"/>
  <c r="BL33" i="3" s="1"/>
  <c r="AX33" i="3"/>
  <c r="AW33" i="3"/>
  <c r="AV33" i="3"/>
  <c r="AC33" i="3"/>
  <c r="H33" i="3"/>
  <c r="G33" i="3" s="1"/>
  <c r="BP32" i="3"/>
  <c r="BO32" i="3"/>
  <c r="BN32" i="3"/>
  <c r="BM32" i="3"/>
  <c r="BL32" i="3"/>
  <c r="AX32" i="3"/>
  <c r="AW32" i="3"/>
  <c r="AV32" i="3"/>
  <c r="AC32" i="3"/>
  <c r="H32" i="3"/>
  <c r="G32" i="3"/>
  <c r="BP31" i="3"/>
  <c r="BO31" i="3"/>
  <c r="BN31" i="3"/>
  <c r="BM31" i="3"/>
  <c r="BL31" i="3" s="1"/>
  <c r="AX31" i="3"/>
  <c r="AW31" i="3"/>
  <c r="AV31" i="3"/>
  <c r="AC31" i="3"/>
  <c r="H31" i="3"/>
  <c r="G31" i="3" s="1"/>
  <c r="BP30" i="3"/>
  <c r="BO30" i="3"/>
  <c r="BN30" i="3"/>
  <c r="BM30" i="3"/>
  <c r="BL30" i="3"/>
  <c r="AZ30" i="3" s="1"/>
  <c r="AX30" i="3"/>
  <c r="AW30" i="3"/>
  <c r="AV30" i="3"/>
  <c r="AC30" i="3"/>
  <c r="H30" i="3"/>
  <c r="G30" i="3" s="1"/>
  <c r="BP29" i="3"/>
  <c r="BO29" i="3"/>
  <c r="BN29" i="3"/>
  <c r="BM29" i="3"/>
  <c r="BL29" i="3"/>
  <c r="AX29" i="3"/>
  <c r="AW29" i="3"/>
  <c r="AV29" i="3"/>
  <c r="AC29" i="3"/>
  <c r="H29" i="3"/>
  <c r="G29" i="3"/>
  <c r="BP28" i="3"/>
  <c r="BO28" i="3"/>
  <c r="BN28" i="3"/>
  <c r="BM28" i="3"/>
  <c r="BL28" i="3" s="1"/>
  <c r="AX28" i="3"/>
  <c r="AW28" i="3"/>
  <c r="AV28" i="3"/>
  <c r="AC28" i="3"/>
  <c r="H28" i="3"/>
  <c r="G28" i="3" s="1"/>
  <c r="BP27" i="3"/>
  <c r="BO27" i="3"/>
  <c r="BN27" i="3"/>
  <c r="BM27" i="3"/>
  <c r="BL27" i="3"/>
  <c r="AZ27" i="3" s="1"/>
  <c r="AX27" i="3"/>
  <c r="AW27" i="3"/>
  <c r="AV27" i="3"/>
  <c r="AC27" i="3"/>
  <c r="H27" i="3"/>
  <c r="G27" i="3" s="1"/>
  <c r="BP26" i="3"/>
  <c r="BO26" i="3"/>
  <c r="BN26" i="3"/>
  <c r="BM26" i="3"/>
  <c r="BL26" i="3"/>
  <c r="AX26" i="3"/>
  <c r="AW26" i="3"/>
  <c r="AV26" i="3"/>
  <c r="AC26" i="3"/>
  <c r="H26" i="3"/>
  <c r="G26" i="3"/>
  <c r="BP25" i="3"/>
  <c r="BO25" i="3"/>
  <c r="BN25" i="3"/>
  <c r="BM25" i="3"/>
  <c r="BL25" i="3" s="1"/>
  <c r="AZ25" i="3" s="1"/>
  <c r="AX25" i="3"/>
  <c r="AW25" i="3"/>
  <c r="AV25" i="3"/>
  <c r="AC25" i="3"/>
  <c r="H25" i="3"/>
  <c r="G25" i="3"/>
  <c r="BP24" i="3"/>
  <c r="BO24" i="3"/>
  <c r="BN24" i="3"/>
  <c r="BM24" i="3"/>
  <c r="BL24" i="3" s="1"/>
  <c r="AX24" i="3"/>
  <c r="AW24" i="3"/>
  <c r="AV24" i="3"/>
  <c r="AC24" i="3"/>
  <c r="H24" i="3"/>
  <c r="G24" i="3" s="1"/>
  <c r="BP23" i="3"/>
  <c r="BO23" i="3"/>
  <c r="BN23" i="3"/>
  <c r="BM23" i="3"/>
  <c r="BL23" i="3"/>
  <c r="AZ23" i="3" s="1"/>
  <c r="AX23" i="3"/>
  <c r="AW23" i="3"/>
  <c r="AV23" i="3"/>
  <c r="AC23" i="3"/>
  <c r="H23" i="3"/>
  <c r="G23" i="3" s="1"/>
  <c r="BP22" i="3"/>
  <c r="BO22" i="3"/>
  <c r="BN22" i="3"/>
  <c r="BM22" i="3"/>
  <c r="BL22" i="3"/>
  <c r="AZ22" i="3" s="1"/>
  <c r="AX22" i="3"/>
  <c r="AW22" i="3"/>
  <c r="AV22" i="3"/>
  <c r="AC22" i="3"/>
  <c r="H22" i="3"/>
  <c r="G22" i="3" s="1"/>
  <c r="BP21" i="3"/>
  <c r="BO21" i="3"/>
  <c r="BN21" i="3"/>
  <c r="BM21" i="3"/>
  <c r="BL21" i="3"/>
  <c r="AX21" i="3"/>
  <c r="AW21" i="3"/>
  <c r="AV21" i="3"/>
  <c r="AC21" i="3"/>
  <c r="H21" i="3"/>
  <c r="G21" i="3"/>
  <c r="BP20" i="3"/>
  <c r="BO20" i="3"/>
  <c r="BN20" i="3"/>
  <c r="BM20" i="3"/>
  <c r="BL20" i="3" s="1"/>
  <c r="AX20" i="3"/>
  <c r="AW20" i="3"/>
  <c r="AV20" i="3"/>
  <c r="AC20" i="3"/>
  <c r="H20" i="3"/>
  <c r="G20" i="3" s="1"/>
  <c r="BP19" i="3"/>
  <c r="BO19" i="3"/>
  <c r="BN19" i="3"/>
  <c r="BM19" i="3"/>
  <c r="BL19" i="3"/>
  <c r="AX19" i="3"/>
  <c r="AW19" i="3"/>
  <c r="AV19" i="3"/>
  <c r="AC19" i="3"/>
  <c r="H19" i="3"/>
  <c r="G19" i="3"/>
  <c r="BP18" i="3"/>
  <c r="BO18" i="3"/>
  <c r="BN18" i="3"/>
  <c r="BM18" i="3"/>
  <c r="BL18" i="3" s="1"/>
  <c r="AZ18" i="3" s="1"/>
  <c r="AX18" i="3"/>
  <c r="AW18" i="3"/>
  <c r="AV18" i="3"/>
  <c r="AC18" i="3"/>
  <c r="H18" i="3"/>
  <c r="G18" i="3"/>
  <c r="BP207" i="3"/>
  <c r="BO207" i="3"/>
  <c r="BN207" i="3"/>
  <c r="BM207" i="3"/>
  <c r="BL207" i="3" s="1"/>
  <c r="AZ207" i="3" s="1"/>
  <c r="AX207" i="3"/>
  <c r="AW207" i="3"/>
  <c r="AV207" i="3"/>
  <c r="AC207" i="3"/>
  <c r="H207" i="3"/>
  <c r="G207" i="3"/>
  <c r="BP206" i="3"/>
  <c r="BO206" i="3"/>
  <c r="BN206" i="3"/>
  <c r="BM206" i="3"/>
  <c r="BL206" i="3" s="1"/>
  <c r="AX206" i="3"/>
  <c r="AW206" i="3"/>
  <c r="AV206" i="3"/>
  <c r="AC206" i="3"/>
  <c r="H206" i="3"/>
  <c r="G206" i="3" s="1"/>
  <c r="BP205" i="3"/>
  <c r="BO205" i="3"/>
  <c r="BN205" i="3"/>
  <c r="BM205" i="3"/>
  <c r="BL205" i="3"/>
  <c r="AZ205" i="3" s="1"/>
  <c r="AX205" i="3"/>
  <c r="AW205" i="3"/>
  <c r="AV205" i="3"/>
  <c r="AC205" i="3"/>
  <c r="H205" i="3"/>
  <c r="G205" i="3" s="1"/>
  <c r="BP204" i="3"/>
  <c r="BO204" i="3"/>
  <c r="BN204" i="3"/>
  <c r="BM204" i="3"/>
  <c r="AX204" i="3"/>
  <c r="AW204" i="3"/>
  <c r="AV204" i="3"/>
  <c r="AC204" i="3"/>
  <c r="H204" i="3"/>
  <c r="G204" i="3" s="1"/>
  <c r="BP203" i="3"/>
  <c r="BO203" i="3"/>
  <c r="BN203" i="3"/>
  <c r="BM203" i="3"/>
  <c r="BL203" i="3"/>
  <c r="AX203" i="3"/>
  <c r="AW203" i="3"/>
  <c r="AV203" i="3"/>
  <c r="AC203" i="3"/>
  <c r="H203" i="3"/>
  <c r="G203" i="3"/>
  <c r="BP202" i="3"/>
  <c r="BO202" i="3"/>
  <c r="BN202" i="3"/>
  <c r="BM202" i="3"/>
  <c r="BL202" i="3" s="1"/>
  <c r="AX202" i="3"/>
  <c r="AW202" i="3"/>
  <c r="AV202" i="3"/>
  <c r="AC202" i="3"/>
  <c r="H202" i="3"/>
  <c r="G202" i="3" s="1"/>
  <c r="BP201" i="3"/>
  <c r="BO201" i="3"/>
  <c r="BN201" i="3"/>
  <c r="BM201" i="3"/>
  <c r="BL201" i="3"/>
  <c r="AZ201" i="3" s="1"/>
  <c r="AX201" i="3"/>
  <c r="AW201" i="3"/>
  <c r="AV201" i="3"/>
  <c r="AC201" i="3"/>
  <c r="H201" i="3"/>
  <c r="BP200" i="3"/>
  <c r="BO200" i="3"/>
  <c r="BN200" i="3"/>
  <c r="BM200" i="3"/>
  <c r="AX200" i="3"/>
  <c r="AW200" i="3"/>
  <c r="AV200" i="3"/>
  <c r="AC200" i="3"/>
  <c r="H200" i="3"/>
  <c r="G200" i="3"/>
  <c r="BP199" i="3"/>
  <c r="BO199" i="3"/>
  <c r="BN199" i="3"/>
  <c r="BM199" i="3"/>
  <c r="BL199" i="3" s="1"/>
  <c r="AX199" i="3"/>
  <c r="AW199" i="3"/>
  <c r="AV199" i="3"/>
  <c r="AC199" i="3"/>
  <c r="H199" i="3"/>
  <c r="G199" i="3" s="1"/>
  <c r="BP198" i="3"/>
  <c r="BO198" i="3"/>
  <c r="BN198" i="3"/>
  <c r="BM198" i="3"/>
  <c r="BL198" i="3"/>
  <c r="AX198" i="3"/>
  <c r="AW198" i="3"/>
  <c r="AV198" i="3"/>
  <c r="AC198" i="3"/>
  <c r="H198" i="3"/>
  <c r="G198" i="3"/>
  <c r="BP197" i="3"/>
  <c r="BO197" i="3"/>
  <c r="BN197" i="3"/>
  <c r="BM197" i="3"/>
  <c r="BL197" i="3" s="1"/>
  <c r="AX197" i="3"/>
  <c r="AW197" i="3"/>
  <c r="AV197" i="3"/>
  <c r="AC197" i="3"/>
  <c r="H197" i="3"/>
  <c r="BP196" i="3"/>
  <c r="BO196" i="3"/>
  <c r="BN196" i="3"/>
  <c r="BM196" i="3"/>
  <c r="AX196" i="3"/>
  <c r="AW196" i="3"/>
  <c r="AV196" i="3"/>
  <c r="AC196" i="3"/>
  <c r="H196" i="3"/>
  <c r="G196" i="3"/>
  <c r="BP195" i="3"/>
  <c r="BO195" i="3"/>
  <c r="BN195" i="3"/>
  <c r="BM195" i="3"/>
  <c r="BL195" i="3" s="1"/>
  <c r="AX195" i="3"/>
  <c r="AW195" i="3"/>
  <c r="AV195" i="3"/>
  <c r="AC195" i="3"/>
  <c r="H195" i="3"/>
  <c r="G195" i="3" s="1"/>
  <c r="BP194" i="3"/>
  <c r="BO194" i="3"/>
  <c r="BN194" i="3"/>
  <c r="BM194" i="3"/>
  <c r="BL194" i="3"/>
  <c r="AX194" i="3"/>
  <c r="AW194" i="3"/>
  <c r="AV194" i="3"/>
  <c r="AC194" i="3"/>
  <c r="H194" i="3"/>
  <c r="G194" i="3"/>
  <c r="BP193" i="3"/>
  <c r="BO193" i="3"/>
  <c r="BN193" i="3"/>
  <c r="BM193" i="3"/>
  <c r="BL193" i="3" s="1"/>
  <c r="AZ193" i="3" s="1"/>
  <c r="AX193" i="3"/>
  <c r="AW193" i="3"/>
  <c r="AV193" i="3"/>
  <c r="AC193" i="3"/>
  <c r="H193" i="3"/>
  <c r="BP192" i="3"/>
  <c r="BO192" i="3"/>
  <c r="BN192" i="3"/>
  <c r="BM192" i="3"/>
  <c r="AX192" i="3"/>
  <c r="AW192" i="3"/>
  <c r="AV192" i="3"/>
  <c r="AC192" i="3"/>
  <c r="H192" i="3"/>
  <c r="G192" i="3" s="1"/>
  <c r="BP191" i="3"/>
  <c r="BO191" i="3"/>
  <c r="BN191" i="3"/>
  <c r="BM191" i="3"/>
  <c r="BL191" i="3"/>
  <c r="AX191" i="3"/>
  <c r="AW191" i="3"/>
  <c r="AV191" i="3"/>
  <c r="AC191" i="3"/>
  <c r="H191" i="3"/>
  <c r="G191" i="3"/>
  <c r="BP190" i="3"/>
  <c r="BO190" i="3"/>
  <c r="BN190" i="3"/>
  <c r="BM190" i="3"/>
  <c r="BL190" i="3" s="1"/>
  <c r="AX190" i="3"/>
  <c r="AW190" i="3"/>
  <c r="AV190" i="3"/>
  <c r="AC190" i="3"/>
  <c r="H190" i="3"/>
  <c r="G190" i="3" s="1"/>
  <c r="BP189" i="3"/>
  <c r="BO189" i="3"/>
  <c r="BN189" i="3"/>
  <c r="BM189" i="3"/>
  <c r="BL189" i="3"/>
  <c r="AX189" i="3"/>
  <c r="AW189" i="3"/>
  <c r="AV189" i="3"/>
  <c r="AC189" i="3"/>
  <c r="H189" i="3"/>
  <c r="BP188" i="3"/>
  <c r="BO188" i="3"/>
  <c r="BN188" i="3"/>
  <c r="BM188" i="3"/>
  <c r="AX188" i="3"/>
  <c r="AW188" i="3"/>
  <c r="AV188" i="3"/>
  <c r="AC188" i="3"/>
  <c r="H188" i="3"/>
  <c r="G188" i="3" s="1"/>
  <c r="BP187" i="3"/>
  <c r="BO187" i="3"/>
  <c r="BN187" i="3"/>
  <c r="BM187" i="3"/>
  <c r="BL187" i="3"/>
  <c r="AX187" i="3"/>
  <c r="AW187" i="3"/>
  <c r="AV187" i="3"/>
  <c r="AC187" i="3"/>
  <c r="H187" i="3"/>
  <c r="G187" i="3"/>
  <c r="BP186" i="3"/>
  <c r="BO186" i="3"/>
  <c r="BN186" i="3"/>
  <c r="BM186" i="3"/>
  <c r="BL186" i="3" s="1"/>
  <c r="AX186" i="3"/>
  <c r="AW186" i="3"/>
  <c r="AV186" i="3"/>
  <c r="AC186" i="3"/>
  <c r="H186" i="3"/>
  <c r="G186" i="3" s="1"/>
  <c r="BP185" i="3"/>
  <c r="BO185" i="3"/>
  <c r="BN185" i="3"/>
  <c r="BM185" i="3"/>
  <c r="BL185" i="3"/>
  <c r="AZ185" i="3" s="1"/>
  <c r="AX185" i="3"/>
  <c r="AW185" i="3"/>
  <c r="AV185" i="3"/>
  <c r="AC185" i="3"/>
  <c r="H185" i="3"/>
  <c r="BP184" i="3"/>
  <c r="BO184" i="3"/>
  <c r="BN184" i="3"/>
  <c r="BM184" i="3"/>
  <c r="AX184" i="3"/>
  <c r="AW184" i="3"/>
  <c r="AV184" i="3"/>
  <c r="AC184" i="3"/>
  <c r="H184" i="3"/>
  <c r="G184" i="3"/>
  <c r="BP183" i="3"/>
  <c r="BO183" i="3"/>
  <c r="BN183" i="3"/>
  <c r="BM183" i="3"/>
  <c r="BL183" i="3" s="1"/>
  <c r="AX183" i="3"/>
  <c r="AW183" i="3"/>
  <c r="AV183" i="3"/>
  <c r="AC183" i="3"/>
  <c r="H183" i="3"/>
  <c r="G183" i="3" s="1"/>
  <c r="BP182" i="3"/>
  <c r="BO182" i="3"/>
  <c r="BN182" i="3"/>
  <c r="BM182" i="3"/>
  <c r="BL182" i="3"/>
  <c r="AX182" i="3"/>
  <c r="AW182" i="3"/>
  <c r="AV182" i="3"/>
  <c r="AC182" i="3"/>
  <c r="H182" i="3"/>
  <c r="G182" i="3"/>
  <c r="BP181" i="3"/>
  <c r="BO181" i="3"/>
  <c r="BN181" i="3"/>
  <c r="BM181" i="3"/>
  <c r="BL181" i="3" s="1"/>
  <c r="AX181" i="3"/>
  <c r="AW181" i="3"/>
  <c r="AV181" i="3"/>
  <c r="AC181" i="3"/>
  <c r="H181" i="3"/>
  <c r="BP180" i="3"/>
  <c r="BO180" i="3"/>
  <c r="BN180" i="3"/>
  <c r="BM180" i="3"/>
  <c r="AX180" i="3"/>
  <c r="AW180" i="3"/>
  <c r="AV180" i="3"/>
  <c r="AC180" i="3"/>
  <c r="H180" i="3"/>
  <c r="G180" i="3"/>
  <c r="BP179" i="3"/>
  <c r="BO179" i="3"/>
  <c r="BN179" i="3"/>
  <c r="BM179" i="3"/>
  <c r="BL179" i="3" s="1"/>
  <c r="AX179" i="3"/>
  <c r="AW179" i="3"/>
  <c r="AV179" i="3"/>
  <c r="AC179" i="3"/>
  <c r="H179" i="3"/>
  <c r="G179" i="3" s="1"/>
  <c r="BP178" i="3"/>
  <c r="BO178" i="3"/>
  <c r="BN178" i="3"/>
  <c r="BM178" i="3"/>
  <c r="BL178" i="3"/>
  <c r="AX178" i="3"/>
  <c r="AW178" i="3"/>
  <c r="AV178" i="3"/>
  <c r="AC178" i="3"/>
  <c r="H178" i="3"/>
  <c r="G178" i="3"/>
  <c r="BP177" i="3"/>
  <c r="BO177" i="3"/>
  <c r="BN177" i="3"/>
  <c r="BM177" i="3"/>
  <c r="BL177" i="3" s="1"/>
  <c r="AZ177" i="3" s="1"/>
  <c r="AX177" i="3"/>
  <c r="AW177" i="3"/>
  <c r="AV177" i="3"/>
  <c r="AC177" i="3"/>
  <c r="H177" i="3"/>
  <c r="BP176" i="3"/>
  <c r="BO176" i="3"/>
  <c r="BN176" i="3"/>
  <c r="BM176" i="3"/>
  <c r="AX176" i="3"/>
  <c r="AW176" i="3"/>
  <c r="AV176" i="3"/>
  <c r="AC176" i="3"/>
  <c r="H176" i="3"/>
  <c r="G176" i="3" s="1"/>
  <c r="BP175" i="3"/>
  <c r="BO175" i="3"/>
  <c r="BN175" i="3"/>
  <c r="BM175" i="3"/>
  <c r="BL175" i="3"/>
  <c r="AX175" i="3"/>
  <c r="AW175" i="3"/>
  <c r="AV175" i="3"/>
  <c r="AC175" i="3"/>
  <c r="H175" i="3"/>
  <c r="G175" i="3"/>
  <c r="BP174" i="3"/>
  <c r="BO174" i="3"/>
  <c r="BN174" i="3"/>
  <c r="BM174" i="3"/>
  <c r="BL174" i="3" s="1"/>
  <c r="AX174" i="3"/>
  <c r="AW174" i="3"/>
  <c r="AV174" i="3"/>
  <c r="AC174" i="3"/>
  <c r="H174" i="3"/>
  <c r="G174" i="3" s="1"/>
  <c r="BP173" i="3"/>
  <c r="BO173" i="3"/>
  <c r="BN173" i="3"/>
  <c r="BM173" i="3"/>
  <c r="BL173" i="3"/>
  <c r="AX173" i="3"/>
  <c r="AW173" i="3"/>
  <c r="AV173" i="3"/>
  <c r="AC173" i="3"/>
  <c r="H173" i="3"/>
  <c r="BP172" i="3"/>
  <c r="BO172" i="3"/>
  <c r="BN172" i="3"/>
  <c r="BM172" i="3"/>
  <c r="AX172" i="3"/>
  <c r="AW172" i="3"/>
  <c r="AV172" i="3"/>
  <c r="AC172" i="3"/>
  <c r="H172" i="3"/>
  <c r="G172" i="3" s="1"/>
  <c r="BP171" i="3"/>
  <c r="BO171" i="3"/>
  <c r="BN171" i="3"/>
  <c r="BM171" i="3"/>
  <c r="BL171" i="3"/>
  <c r="AX171" i="3"/>
  <c r="AW171" i="3"/>
  <c r="AV171" i="3"/>
  <c r="AC171" i="3"/>
  <c r="H171" i="3"/>
  <c r="G171" i="3"/>
  <c r="BP170" i="3"/>
  <c r="BO170" i="3"/>
  <c r="BN170" i="3"/>
  <c r="BM170" i="3"/>
  <c r="BL170" i="3" s="1"/>
  <c r="AX170" i="3"/>
  <c r="AW170" i="3"/>
  <c r="AV170" i="3"/>
  <c r="AC170" i="3"/>
  <c r="H170" i="3"/>
  <c r="G170" i="3" s="1"/>
  <c r="BP169" i="3"/>
  <c r="BO169" i="3"/>
  <c r="BN169" i="3"/>
  <c r="BM169" i="3"/>
  <c r="BL169" i="3"/>
  <c r="AZ169" i="3" s="1"/>
  <c r="AX169" i="3"/>
  <c r="AW169" i="3"/>
  <c r="AV169" i="3"/>
  <c r="AC169" i="3"/>
  <c r="H169" i="3"/>
  <c r="BP168" i="3"/>
  <c r="BO168" i="3"/>
  <c r="BN168" i="3"/>
  <c r="BM168" i="3"/>
  <c r="AX168" i="3"/>
  <c r="AW168" i="3"/>
  <c r="AV168" i="3"/>
  <c r="AC168" i="3"/>
  <c r="H168" i="3"/>
  <c r="G168" i="3"/>
  <c r="BP167" i="3"/>
  <c r="BO167" i="3"/>
  <c r="BN167" i="3"/>
  <c r="BM167" i="3"/>
  <c r="BL167" i="3" s="1"/>
  <c r="AX167" i="3"/>
  <c r="AW167" i="3"/>
  <c r="AV167" i="3"/>
  <c r="AC167" i="3"/>
  <c r="H167" i="3"/>
  <c r="G167" i="3" s="1"/>
  <c r="BP166" i="3"/>
  <c r="BO166" i="3"/>
  <c r="BN166" i="3"/>
  <c r="BM166" i="3"/>
  <c r="BL166" i="3"/>
  <c r="AX166" i="3"/>
  <c r="AW166" i="3"/>
  <c r="AV166" i="3"/>
  <c r="AC166" i="3"/>
  <c r="H166" i="3"/>
  <c r="G166" i="3"/>
  <c r="BP165" i="3"/>
  <c r="BO165" i="3"/>
  <c r="BN165" i="3"/>
  <c r="BM165" i="3"/>
  <c r="BL165" i="3" s="1"/>
  <c r="AX165" i="3"/>
  <c r="AW165" i="3"/>
  <c r="AV165" i="3"/>
  <c r="AC165" i="3"/>
  <c r="H165" i="3"/>
  <c r="BP164" i="3"/>
  <c r="BO164" i="3"/>
  <c r="BN164" i="3"/>
  <c r="BM164" i="3"/>
  <c r="AX164" i="3"/>
  <c r="AW164" i="3"/>
  <c r="AV164" i="3"/>
  <c r="AC164" i="3"/>
  <c r="H164" i="3"/>
  <c r="G164" i="3"/>
  <c r="BP163" i="3"/>
  <c r="BO163" i="3"/>
  <c r="BN163" i="3"/>
  <c r="BM163" i="3"/>
  <c r="BL163" i="3" s="1"/>
  <c r="AX163" i="3"/>
  <c r="AW163" i="3"/>
  <c r="AV163" i="3"/>
  <c r="AC163" i="3"/>
  <c r="H163" i="3"/>
  <c r="G163" i="3" s="1"/>
  <c r="BP162" i="3"/>
  <c r="BO162" i="3"/>
  <c r="BN162" i="3"/>
  <c r="BM162" i="3"/>
  <c r="BL162" i="3"/>
  <c r="AX162" i="3"/>
  <c r="AW162" i="3"/>
  <c r="AV162" i="3"/>
  <c r="AC162" i="3"/>
  <c r="H162" i="3"/>
  <c r="G162" i="3"/>
  <c r="BP161" i="3"/>
  <c r="BO161" i="3"/>
  <c r="BN161" i="3"/>
  <c r="BM161" i="3"/>
  <c r="BL161" i="3" s="1"/>
  <c r="AZ161" i="3" s="1"/>
  <c r="AX161" i="3"/>
  <c r="AW161" i="3"/>
  <c r="AV161" i="3"/>
  <c r="AC161" i="3"/>
  <c r="H161" i="3"/>
  <c r="BP160" i="3"/>
  <c r="BO160" i="3"/>
  <c r="BN160" i="3"/>
  <c r="BM160" i="3"/>
  <c r="AX160" i="3"/>
  <c r="AW160" i="3"/>
  <c r="AV160" i="3"/>
  <c r="AC160" i="3"/>
  <c r="H160" i="3"/>
  <c r="G160" i="3" s="1"/>
  <c r="BP159" i="3"/>
  <c r="BO159" i="3"/>
  <c r="BN159" i="3"/>
  <c r="BM159" i="3"/>
  <c r="BL159" i="3"/>
  <c r="AX159" i="3"/>
  <c r="AW159" i="3"/>
  <c r="AV159" i="3"/>
  <c r="AC159" i="3"/>
  <c r="H159" i="3"/>
  <c r="G159" i="3"/>
  <c r="BP158" i="3"/>
  <c r="BO158" i="3"/>
  <c r="BN158" i="3"/>
  <c r="BM158" i="3"/>
  <c r="BL158" i="3" s="1"/>
  <c r="AX158" i="3"/>
  <c r="AW158" i="3"/>
  <c r="AV158" i="3"/>
  <c r="AC158" i="3"/>
  <c r="H158" i="3"/>
  <c r="G158" i="3" s="1"/>
  <c r="BP157" i="3"/>
  <c r="BO157" i="3"/>
  <c r="BN157" i="3"/>
  <c r="BM157" i="3"/>
  <c r="BL157" i="3"/>
  <c r="AX157" i="3"/>
  <c r="AW157" i="3"/>
  <c r="AV157" i="3"/>
  <c r="AC157" i="3"/>
  <c r="H157" i="3"/>
  <c r="BP156" i="3"/>
  <c r="BO156" i="3"/>
  <c r="BN156" i="3"/>
  <c r="BM156" i="3"/>
  <c r="AX156" i="3"/>
  <c r="AW156" i="3"/>
  <c r="AV156" i="3"/>
  <c r="AC156" i="3"/>
  <c r="H156" i="3"/>
  <c r="G156" i="3" s="1"/>
  <c r="BP155" i="3"/>
  <c r="BO155" i="3"/>
  <c r="BN155" i="3"/>
  <c r="BM155" i="3"/>
  <c r="BL155" i="3"/>
  <c r="AX155" i="3"/>
  <c r="AW155" i="3"/>
  <c r="AV155" i="3"/>
  <c r="AC155" i="3"/>
  <c r="H155" i="3"/>
  <c r="G155" i="3"/>
  <c r="BP154" i="3"/>
  <c r="BO154" i="3"/>
  <c r="BN154" i="3"/>
  <c r="BM154" i="3"/>
  <c r="BL154" i="3" s="1"/>
  <c r="AX154" i="3"/>
  <c r="AW154" i="3"/>
  <c r="AV154" i="3"/>
  <c r="AC154" i="3"/>
  <c r="H154" i="3"/>
  <c r="G154" i="3" s="1"/>
  <c r="BP153" i="3"/>
  <c r="BO153" i="3"/>
  <c r="BN153" i="3"/>
  <c r="BM153" i="3"/>
  <c r="BL153" i="3"/>
  <c r="AZ153" i="3" s="1"/>
  <c r="AX153" i="3"/>
  <c r="AW153" i="3"/>
  <c r="AV153" i="3"/>
  <c r="AC153" i="3"/>
  <c r="H153" i="3"/>
  <c r="BP152" i="3"/>
  <c r="BO152" i="3"/>
  <c r="BN152" i="3"/>
  <c r="BM152" i="3"/>
  <c r="AX152" i="3"/>
  <c r="AW152" i="3"/>
  <c r="AV152" i="3"/>
  <c r="AC152" i="3"/>
  <c r="H152" i="3"/>
  <c r="G152" i="3"/>
  <c r="BP151" i="3"/>
  <c r="BO151" i="3"/>
  <c r="BN151" i="3"/>
  <c r="BM151" i="3"/>
  <c r="BL151" i="3" s="1"/>
  <c r="AX151" i="3"/>
  <c r="AW151" i="3"/>
  <c r="AV151" i="3"/>
  <c r="AC151" i="3"/>
  <c r="H151" i="3"/>
  <c r="G151" i="3" s="1"/>
  <c r="BP150" i="3"/>
  <c r="BO150" i="3"/>
  <c r="BN150" i="3"/>
  <c r="BM150" i="3"/>
  <c r="BL150" i="3"/>
  <c r="AX150" i="3"/>
  <c r="AW150" i="3"/>
  <c r="AV150" i="3"/>
  <c r="AC150" i="3"/>
  <c r="H150" i="3"/>
  <c r="G150" i="3"/>
  <c r="BP149" i="3"/>
  <c r="BO149" i="3"/>
  <c r="BN149" i="3"/>
  <c r="BM149" i="3"/>
  <c r="BL149" i="3" s="1"/>
  <c r="AX149" i="3"/>
  <c r="AW149" i="3"/>
  <c r="AV149" i="3"/>
  <c r="AC149" i="3"/>
  <c r="H149" i="3"/>
  <c r="BP148" i="3"/>
  <c r="BO148" i="3"/>
  <c r="BN148" i="3"/>
  <c r="BM148" i="3"/>
  <c r="AX148" i="3"/>
  <c r="AW148" i="3"/>
  <c r="AV148" i="3"/>
  <c r="AC148" i="3"/>
  <c r="H148" i="3"/>
  <c r="G148" i="3"/>
  <c r="BP147" i="3"/>
  <c r="BO147" i="3"/>
  <c r="BN147" i="3"/>
  <c r="BM147" i="3"/>
  <c r="BL147" i="3" s="1"/>
  <c r="AX147" i="3"/>
  <c r="AW147" i="3"/>
  <c r="AV147" i="3"/>
  <c r="AC147" i="3"/>
  <c r="H147" i="3"/>
  <c r="G147" i="3" s="1"/>
  <c r="BP146" i="3"/>
  <c r="BO146" i="3"/>
  <c r="BN146" i="3"/>
  <c r="BM146" i="3"/>
  <c r="BL146" i="3"/>
  <c r="AX146" i="3"/>
  <c r="AW146" i="3"/>
  <c r="AV146" i="3"/>
  <c r="AC146" i="3"/>
  <c r="H146" i="3"/>
  <c r="G146" i="3"/>
  <c r="BP145" i="3"/>
  <c r="BO145" i="3"/>
  <c r="BN145" i="3"/>
  <c r="BM145" i="3"/>
  <c r="BL145" i="3" s="1"/>
  <c r="AZ145" i="3" s="1"/>
  <c r="AX145" i="3"/>
  <c r="AW145" i="3"/>
  <c r="AV145" i="3"/>
  <c r="AC145" i="3"/>
  <c r="H145" i="3"/>
  <c r="BP144" i="3"/>
  <c r="BO144" i="3"/>
  <c r="BN144" i="3"/>
  <c r="BM144" i="3"/>
  <c r="AX144" i="3"/>
  <c r="AW144" i="3"/>
  <c r="AV144" i="3"/>
  <c r="AC144" i="3"/>
  <c r="H144" i="3"/>
  <c r="G144" i="3" s="1"/>
  <c r="BP143" i="3"/>
  <c r="BO143" i="3"/>
  <c r="BN143" i="3"/>
  <c r="BM143" i="3"/>
  <c r="BL143" i="3"/>
  <c r="AX143" i="3"/>
  <c r="AW143" i="3"/>
  <c r="AV143" i="3"/>
  <c r="AC143" i="3"/>
  <c r="H143" i="3"/>
  <c r="G143" i="3"/>
  <c r="BP142" i="3"/>
  <c r="BO142" i="3"/>
  <c r="BN142" i="3"/>
  <c r="BM142" i="3"/>
  <c r="BL142" i="3" s="1"/>
  <c r="AX142" i="3"/>
  <c r="AW142" i="3"/>
  <c r="AV142" i="3"/>
  <c r="AC142" i="3"/>
  <c r="H142" i="3"/>
  <c r="G142" i="3" s="1"/>
  <c r="BP141" i="3"/>
  <c r="BO141" i="3"/>
  <c r="BN141" i="3"/>
  <c r="BM141" i="3"/>
  <c r="BL141" i="3"/>
  <c r="AZ141" i="3" s="1"/>
  <c r="AX141" i="3"/>
  <c r="AW141" i="3"/>
  <c r="AV141" i="3"/>
  <c r="AC141" i="3"/>
  <c r="H141" i="3"/>
  <c r="BP140" i="3"/>
  <c r="BO140" i="3"/>
  <c r="BN140" i="3"/>
  <c r="BM140" i="3"/>
  <c r="AX140" i="3"/>
  <c r="AW140" i="3"/>
  <c r="AV140" i="3"/>
  <c r="AC140" i="3"/>
  <c r="H140" i="3"/>
  <c r="G140" i="3"/>
  <c r="BP139" i="3"/>
  <c r="BO139" i="3"/>
  <c r="BN139" i="3"/>
  <c r="BM139" i="3"/>
  <c r="BL139" i="3" s="1"/>
  <c r="AX139" i="3"/>
  <c r="AW139" i="3"/>
  <c r="AV139" i="3"/>
  <c r="AC139" i="3"/>
  <c r="H139" i="3"/>
  <c r="G139" i="3" s="1"/>
  <c r="BP138" i="3"/>
  <c r="BO138" i="3"/>
  <c r="BN138" i="3"/>
  <c r="BM138" i="3"/>
  <c r="BL138" i="3"/>
  <c r="AX138" i="3"/>
  <c r="AW138" i="3"/>
  <c r="AV138" i="3"/>
  <c r="AC138" i="3"/>
  <c r="H138" i="3"/>
  <c r="G138" i="3"/>
  <c r="BP137" i="3"/>
  <c r="BO137" i="3"/>
  <c r="BN137" i="3"/>
  <c r="BM137" i="3"/>
  <c r="BL137" i="3" s="1"/>
  <c r="AZ137" i="3" s="1"/>
  <c r="AX137" i="3"/>
  <c r="AW137" i="3"/>
  <c r="AV137" i="3"/>
  <c r="AC137" i="3"/>
  <c r="H137" i="3"/>
  <c r="BP136" i="3"/>
  <c r="BO136" i="3"/>
  <c r="BN136" i="3"/>
  <c r="BM136" i="3"/>
  <c r="AX136" i="3"/>
  <c r="AW136" i="3"/>
  <c r="AV136" i="3"/>
  <c r="AC136" i="3"/>
  <c r="H136" i="3"/>
  <c r="G136" i="3" s="1"/>
  <c r="BP135" i="3"/>
  <c r="BO135" i="3"/>
  <c r="BN135" i="3"/>
  <c r="BM135" i="3"/>
  <c r="BL135" i="3"/>
  <c r="AX135" i="3"/>
  <c r="AW135" i="3"/>
  <c r="AV135" i="3"/>
  <c r="AC135" i="3"/>
  <c r="H135" i="3"/>
  <c r="G135" i="3"/>
  <c r="BP134" i="3"/>
  <c r="BO134" i="3"/>
  <c r="BN134" i="3"/>
  <c r="BM134" i="3"/>
  <c r="BL134" i="3" s="1"/>
  <c r="AZ134" i="3" s="1"/>
  <c r="AX134" i="3"/>
  <c r="AW134" i="3"/>
  <c r="AV134" i="3"/>
  <c r="AC134" i="3"/>
  <c r="H134" i="3"/>
  <c r="G134" i="3"/>
  <c r="BP133" i="3"/>
  <c r="BO133" i="3"/>
  <c r="BN133" i="3"/>
  <c r="BM133" i="3"/>
  <c r="BL133" i="3" s="1"/>
  <c r="AX133" i="3"/>
  <c r="AW133" i="3"/>
  <c r="AV133" i="3"/>
  <c r="AC133" i="3"/>
  <c r="H133" i="3"/>
  <c r="BP132" i="3"/>
  <c r="BO132" i="3"/>
  <c r="BN132" i="3"/>
  <c r="BM132" i="3"/>
  <c r="AX132" i="3"/>
  <c r="AW132" i="3"/>
  <c r="AV132" i="3"/>
  <c r="AC132" i="3"/>
  <c r="H132" i="3"/>
  <c r="G132" i="3"/>
  <c r="BP131" i="3"/>
  <c r="BO131" i="3"/>
  <c r="BN131" i="3"/>
  <c r="BM131" i="3"/>
  <c r="BL131" i="3" s="1"/>
  <c r="AX131" i="3"/>
  <c r="AW131" i="3"/>
  <c r="AV131" i="3"/>
  <c r="AC131" i="3"/>
  <c r="H131" i="3"/>
  <c r="G131" i="3" s="1"/>
  <c r="BP130" i="3"/>
  <c r="BO130" i="3"/>
  <c r="BN130" i="3"/>
  <c r="BM130" i="3"/>
  <c r="BL130" i="3"/>
  <c r="AX130" i="3"/>
  <c r="AW130" i="3"/>
  <c r="AV130" i="3"/>
  <c r="AC130" i="3"/>
  <c r="H130" i="3"/>
  <c r="G130" i="3"/>
  <c r="BP129" i="3"/>
  <c r="BO129" i="3"/>
  <c r="BN129" i="3"/>
  <c r="BM129" i="3"/>
  <c r="BL129" i="3" s="1"/>
  <c r="AZ129" i="3" s="1"/>
  <c r="AX129" i="3"/>
  <c r="AW129" i="3"/>
  <c r="AV129" i="3"/>
  <c r="AC129" i="3"/>
  <c r="H129" i="3"/>
  <c r="BP128" i="3"/>
  <c r="BO128" i="3"/>
  <c r="BN128" i="3"/>
  <c r="BM128" i="3"/>
  <c r="AX128" i="3"/>
  <c r="AW128" i="3"/>
  <c r="AV128" i="3"/>
  <c r="AC128" i="3"/>
  <c r="H128" i="3"/>
  <c r="G128" i="3" s="1"/>
  <c r="BP127" i="3"/>
  <c r="BO127" i="3"/>
  <c r="BN127" i="3"/>
  <c r="BM127" i="3"/>
  <c r="BL127" i="3"/>
  <c r="AX127" i="3"/>
  <c r="AW127" i="3"/>
  <c r="AV127" i="3"/>
  <c r="AC127" i="3"/>
  <c r="H127" i="3"/>
  <c r="G127" i="3"/>
  <c r="BP126" i="3"/>
  <c r="BO126" i="3"/>
  <c r="BN126" i="3"/>
  <c r="BM126" i="3"/>
  <c r="BL126" i="3" s="1"/>
  <c r="AZ126" i="3" s="1"/>
  <c r="AX126" i="3"/>
  <c r="AW126" i="3"/>
  <c r="AV126" i="3"/>
  <c r="AC126" i="3"/>
  <c r="H126" i="3"/>
  <c r="G126" i="3"/>
  <c r="BP125" i="3"/>
  <c r="BO125" i="3"/>
  <c r="BN125" i="3"/>
  <c r="BM125" i="3"/>
  <c r="BL125" i="3" s="1"/>
  <c r="AZ125" i="3" s="1"/>
  <c r="AX125" i="3"/>
  <c r="AW125" i="3"/>
  <c r="AV125" i="3"/>
  <c r="AC125" i="3"/>
  <c r="H125" i="3"/>
  <c r="BP124" i="3"/>
  <c r="BO124" i="3"/>
  <c r="BN124" i="3"/>
  <c r="BM124" i="3"/>
  <c r="AX124" i="3"/>
  <c r="AW124" i="3"/>
  <c r="AV124" i="3"/>
  <c r="AC124" i="3"/>
  <c r="H124" i="3"/>
  <c r="G124" i="3" s="1"/>
  <c r="BP123" i="3"/>
  <c r="BO123" i="3"/>
  <c r="BN123" i="3"/>
  <c r="BM123" i="3"/>
  <c r="BL123" i="3"/>
  <c r="AX123" i="3"/>
  <c r="AW123" i="3"/>
  <c r="AV123" i="3"/>
  <c r="AC123" i="3"/>
  <c r="H123" i="3"/>
  <c r="G123" i="3"/>
  <c r="BP122" i="3"/>
  <c r="BO122" i="3"/>
  <c r="BN122" i="3"/>
  <c r="BM122" i="3"/>
  <c r="BL122" i="3" s="1"/>
  <c r="AZ122" i="3" s="1"/>
  <c r="AX122" i="3"/>
  <c r="AW122" i="3"/>
  <c r="AV122" i="3"/>
  <c r="AC122" i="3"/>
  <c r="H122" i="3"/>
  <c r="G122" i="3"/>
  <c r="BP121" i="3"/>
  <c r="BO121" i="3"/>
  <c r="BN121" i="3"/>
  <c r="BM121" i="3"/>
  <c r="BL121" i="3" s="1"/>
  <c r="AZ121" i="3" s="1"/>
  <c r="AX121" i="3"/>
  <c r="AW121" i="3"/>
  <c r="AV121" i="3"/>
  <c r="AC121" i="3"/>
  <c r="H121" i="3"/>
  <c r="BP120" i="3"/>
  <c r="BO120" i="3"/>
  <c r="BN120" i="3"/>
  <c r="BM120" i="3"/>
  <c r="AX120" i="3"/>
  <c r="AW120" i="3"/>
  <c r="AV120" i="3"/>
  <c r="AC120" i="3"/>
  <c r="H120" i="3"/>
  <c r="G120" i="3" s="1"/>
  <c r="BP119" i="3"/>
  <c r="BO119" i="3"/>
  <c r="BN119" i="3"/>
  <c r="BM119" i="3"/>
  <c r="BL119" i="3"/>
  <c r="AX119" i="3"/>
  <c r="AW119" i="3"/>
  <c r="AV119" i="3"/>
  <c r="AC119" i="3"/>
  <c r="H119" i="3"/>
  <c r="G119" i="3"/>
  <c r="BP118" i="3"/>
  <c r="BO118" i="3"/>
  <c r="BN118" i="3"/>
  <c r="BM118" i="3"/>
  <c r="BL118" i="3" s="1"/>
  <c r="AZ118" i="3" s="1"/>
  <c r="AX118" i="3"/>
  <c r="AW118" i="3"/>
  <c r="AV118" i="3"/>
  <c r="AC118" i="3"/>
  <c r="H118" i="3"/>
  <c r="G118" i="3"/>
  <c r="BP117" i="3"/>
  <c r="BO117" i="3"/>
  <c r="BN117" i="3"/>
  <c r="BM117" i="3"/>
  <c r="BL117" i="3" s="1"/>
  <c r="AX117" i="3"/>
  <c r="AW117" i="3"/>
  <c r="AV117" i="3"/>
  <c r="AC117" i="3"/>
  <c r="H117" i="3"/>
  <c r="BP116" i="3"/>
  <c r="BO116" i="3"/>
  <c r="BN116" i="3"/>
  <c r="BM116" i="3"/>
  <c r="AX116" i="3"/>
  <c r="AW116" i="3"/>
  <c r="AV116" i="3"/>
  <c r="AC116" i="3"/>
  <c r="H116" i="3"/>
  <c r="G116" i="3"/>
  <c r="BP115" i="3"/>
  <c r="BO115" i="3"/>
  <c r="BN115" i="3"/>
  <c r="BM115" i="3"/>
  <c r="BL115" i="3" s="1"/>
  <c r="AX115" i="3"/>
  <c r="AW115" i="3"/>
  <c r="AV115" i="3"/>
  <c r="AC115" i="3"/>
  <c r="H115" i="3"/>
  <c r="G115" i="3" s="1"/>
  <c r="BP114" i="3"/>
  <c r="BO114" i="3"/>
  <c r="BN114" i="3"/>
  <c r="BM114" i="3"/>
  <c r="BL114" i="3"/>
  <c r="AX114" i="3"/>
  <c r="AW114" i="3"/>
  <c r="AV114" i="3"/>
  <c r="AC114" i="3"/>
  <c r="H114" i="3"/>
  <c r="G114" i="3"/>
  <c r="BP113" i="3"/>
  <c r="BO113" i="3"/>
  <c r="BN113" i="3"/>
  <c r="BM113" i="3"/>
  <c r="BL113" i="3" s="1"/>
  <c r="AZ113" i="3" s="1"/>
  <c r="AX113" i="3"/>
  <c r="AW113" i="3"/>
  <c r="AV113" i="3"/>
  <c r="AC113" i="3"/>
  <c r="H113" i="3"/>
  <c r="BP302" i="3"/>
  <c r="BO302" i="3"/>
  <c r="BN302" i="3"/>
  <c r="BM302" i="3"/>
  <c r="BL302" i="3"/>
  <c r="AZ302" i="3" s="1"/>
  <c r="AX302" i="3"/>
  <c r="AW302" i="3"/>
  <c r="AV302" i="3"/>
  <c r="AC302" i="3"/>
  <c r="H302" i="3"/>
  <c r="G302" i="3" s="1"/>
  <c r="BP301" i="3"/>
  <c r="BO301" i="3"/>
  <c r="BN301" i="3"/>
  <c r="BM301" i="3"/>
  <c r="BL301" i="3"/>
  <c r="AZ301" i="3" s="1"/>
  <c r="AX301" i="3"/>
  <c r="AW301" i="3"/>
  <c r="AV301" i="3"/>
  <c r="AC301" i="3"/>
  <c r="H301" i="3"/>
  <c r="G301" i="3" s="1"/>
  <c r="BP300" i="3"/>
  <c r="BO300" i="3"/>
  <c r="BN300" i="3"/>
  <c r="BM300" i="3"/>
  <c r="BL300" i="3"/>
  <c r="AZ300" i="3" s="1"/>
  <c r="AX300" i="3"/>
  <c r="AW300" i="3"/>
  <c r="AV300" i="3"/>
  <c r="AC300" i="3"/>
  <c r="H300" i="3"/>
  <c r="G300" i="3" s="1"/>
  <c r="BP299" i="3"/>
  <c r="BO299" i="3"/>
  <c r="BN299" i="3"/>
  <c r="BM299" i="3"/>
  <c r="BL299" i="3"/>
  <c r="AX299" i="3"/>
  <c r="AW299" i="3"/>
  <c r="AV299" i="3"/>
  <c r="AC299" i="3"/>
  <c r="H299" i="3"/>
  <c r="G299" i="3"/>
  <c r="BP298" i="3"/>
  <c r="BO298" i="3"/>
  <c r="BN298" i="3"/>
  <c r="BM298" i="3"/>
  <c r="BL298" i="3" s="1"/>
  <c r="AZ298" i="3" s="1"/>
  <c r="AX298" i="3"/>
  <c r="AW298" i="3"/>
  <c r="AV298" i="3"/>
  <c r="AC298" i="3"/>
  <c r="H298" i="3"/>
  <c r="G298" i="3"/>
  <c r="BP297" i="3"/>
  <c r="BO297" i="3"/>
  <c r="BN297" i="3"/>
  <c r="BM297" i="3"/>
  <c r="BL297" i="3" s="1"/>
  <c r="AX297" i="3"/>
  <c r="AW297" i="3"/>
  <c r="AV297" i="3"/>
  <c r="AC297" i="3"/>
  <c r="H297" i="3"/>
  <c r="G297" i="3" s="1"/>
  <c r="BP296" i="3"/>
  <c r="BO296" i="3"/>
  <c r="BN296" i="3"/>
  <c r="BM296" i="3"/>
  <c r="BL296" i="3"/>
  <c r="AX296" i="3"/>
  <c r="AW296" i="3"/>
  <c r="AV296" i="3"/>
  <c r="AC296" i="3"/>
  <c r="H296" i="3"/>
  <c r="G296" i="3"/>
  <c r="BP295" i="3"/>
  <c r="BO295" i="3"/>
  <c r="BN295" i="3"/>
  <c r="BM295" i="3"/>
  <c r="BL295" i="3" s="1"/>
  <c r="AX295" i="3"/>
  <c r="AW295" i="3"/>
  <c r="AV295" i="3"/>
  <c r="AC295" i="3"/>
  <c r="H295" i="3"/>
  <c r="G295" i="3" s="1"/>
  <c r="BP294" i="3"/>
  <c r="BO294" i="3"/>
  <c r="BN294" i="3"/>
  <c r="BM294" i="3"/>
  <c r="BL294" i="3"/>
  <c r="AZ294" i="3" s="1"/>
  <c r="AX294" i="3"/>
  <c r="AW294" i="3"/>
  <c r="AV294" i="3"/>
  <c r="AC294" i="3"/>
  <c r="H294" i="3"/>
  <c r="G294" i="3" s="1"/>
  <c r="BP293" i="3"/>
  <c r="BO293" i="3"/>
  <c r="BN293" i="3"/>
  <c r="BM293" i="3"/>
  <c r="BL293" i="3"/>
  <c r="AZ293" i="3" s="1"/>
  <c r="AX293" i="3"/>
  <c r="AW293" i="3"/>
  <c r="AV293" i="3"/>
  <c r="AC293" i="3"/>
  <c r="H293" i="3"/>
  <c r="G293" i="3" s="1"/>
  <c r="BP292" i="3"/>
  <c r="BO292" i="3"/>
  <c r="BN292" i="3"/>
  <c r="BM292" i="3"/>
  <c r="BL292" i="3"/>
  <c r="AZ292" i="3" s="1"/>
  <c r="AX292" i="3"/>
  <c r="AW292" i="3"/>
  <c r="AV292" i="3"/>
  <c r="AC292" i="3"/>
  <c r="H292" i="3"/>
  <c r="G292" i="3" s="1"/>
  <c r="BP291" i="3"/>
  <c r="BO291" i="3"/>
  <c r="BN291" i="3"/>
  <c r="BM291" i="3"/>
  <c r="BL291" i="3"/>
  <c r="AX291" i="3"/>
  <c r="AW291" i="3"/>
  <c r="AV291" i="3"/>
  <c r="AC291" i="3"/>
  <c r="H291" i="3"/>
  <c r="G291" i="3"/>
  <c r="BP290" i="3"/>
  <c r="BO290" i="3"/>
  <c r="BN290" i="3"/>
  <c r="BM290" i="3"/>
  <c r="BL290" i="3" s="1"/>
  <c r="AZ290" i="3" s="1"/>
  <c r="AX290" i="3"/>
  <c r="AW290" i="3"/>
  <c r="AV290" i="3"/>
  <c r="AC290" i="3"/>
  <c r="H290" i="3"/>
  <c r="G290" i="3"/>
  <c r="BP289" i="3"/>
  <c r="BO289" i="3"/>
  <c r="BN289" i="3"/>
  <c r="BM289" i="3"/>
  <c r="BL289" i="3" s="1"/>
  <c r="AZ289" i="3" s="1"/>
  <c r="AX289" i="3"/>
  <c r="AW289" i="3"/>
  <c r="AV289" i="3"/>
  <c r="AC289" i="3"/>
  <c r="H289" i="3"/>
  <c r="G289" i="3"/>
  <c r="BP288" i="3"/>
  <c r="BO288" i="3"/>
  <c r="BN288" i="3"/>
  <c r="BM288" i="3"/>
  <c r="BL288" i="3" s="1"/>
  <c r="AX288" i="3"/>
  <c r="AW288" i="3"/>
  <c r="AV288" i="3"/>
  <c r="AC288" i="3"/>
  <c r="H288" i="3"/>
  <c r="G288" i="3" s="1"/>
  <c r="BP287" i="3"/>
  <c r="BO287" i="3"/>
  <c r="BN287" i="3"/>
  <c r="BM287" i="3"/>
  <c r="BL287" i="3"/>
  <c r="AX287" i="3"/>
  <c r="AW287" i="3"/>
  <c r="AV287" i="3"/>
  <c r="AC287" i="3"/>
  <c r="H287" i="3"/>
  <c r="G287" i="3"/>
  <c r="BP286" i="3"/>
  <c r="BO286" i="3"/>
  <c r="BN286" i="3"/>
  <c r="BM286" i="3"/>
  <c r="BL286" i="3" s="1"/>
  <c r="AX286" i="3"/>
  <c r="AW286" i="3"/>
  <c r="AV286" i="3"/>
  <c r="AC286" i="3"/>
  <c r="H286" i="3"/>
  <c r="G286" i="3" s="1"/>
  <c r="BP285" i="3"/>
  <c r="BO285" i="3"/>
  <c r="BN285" i="3"/>
  <c r="BM285" i="3"/>
  <c r="BL285" i="3"/>
  <c r="AZ285" i="3" s="1"/>
  <c r="AX285" i="3"/>
  <c r="AW285" i="3"/>
  <c r="AV285" i="3"/>
  <c r="AC285" i="3"/>
  <c r="H285" i="3"/>
  <c r="G285" i="3" s="1"/>
  <c r="BP284" i="3"/>
  <c r="BO284" i="3"/>
  <c r="BN284" i="3"/>
  <c r="BM284" i="3"/>
  <c r="BL284" i="3"/>
  <c r="AZ284" i="3" s="1"/>
  <c r="AX284" i="3"/>
  <c r="AW284" i="3"/>
  <c r="AV284" i="3"/>
  <c r="AC284" i="3"/>
  <c r="H284" i="3"/>
  <c r="G284" i="3" s="1"/>
  <c r="BP283" i="3"/>
  <c r="BO283" i="3"/>
  <c r="BN283" i="3"/>
  <c r="BM283" i="3"/>
  <c r="BL283" i="3"/>
  <c r="AX283" i="3"/>
  <c r="AW283" i="3"/>
  <c r="AV283" i="3"/>
  <c r="AC283" i="3"/>
  <c r="H283" i="3"/>
  <c r="G283" i="3"/>
  <c r="BP282" i="3"/>
  <c r="BO282" i="3"/>
  <c r="BN282" i="3"/>
  <c r="BM282" i="3"/>
  <c r="BL282" i="3" s="1"/>
  <c r="AZ282" i="3" s="1"/>
  <c r="AX282" i="3"/>
  <c r="AW282" i="3"/>
  <c r="AV282" i="3"/>
  <c r="AC282" i="3"/>
  <c r="H282" i="3"/>
  <c r="G282" i="3"/>
  <c r="BP281" i="3"/>
  <c r="BO281" i="3"/>
  <c r="BN281" i="3"/>
  <c r="BM281" i="3"/>
  <c r="BL281" i="3" s="1"/>
  <c r="AX281" i="3"/>
  <c r="AW281" i="3"/>
  <c r="AV281" i="3"/>
  <c r="AC281" i="3"/>
  <c r="H281" i="3"/>
  <c r="G281" i="3" s="1"/>
  <c r="BP280" i="3"/>
  <c r="BO280" i="3"/>
  <c r="BN280" i="3"/>
  <c r="BM280" i="3"/>
  <c r="BL280" i="3"/>
  <c r="AX280" i="3"/>
  <c r="AW280" i="3"/>
  <c r="AV280" i="3"/>
  <c r="AC280" i="3"/>
  <c r="H280" i="3"/>
  <c r="G280" i="3"/>
  <c r="BP279" i="3"/>
  <c r="BO279" i="3"/>
  <c r="BN279" i="3"/>
  <c r="BM279" i="3"/>
  <c r="BL279" i="3" s="1"/>
  <c r="AX279" i="3"/>
  <c r="AW279" i="3"/>
  <c r="AV279" i="3"/>
  <c r="AC279" i="3"/>
  <c r="H279" i="3"/>
  <c r="G279" i="3" s="1"/>
  <c r="BP278" i="3"/>
  <c r="BO278" i="3"/>
  <c r="BN278" i="3"/>
  <c r="BM278" i="3"/>
  <c r="BL278" i="3"/>
  <c r="AZ278" i="3" s="1"/>
  <c r="AX278" i="3"/>
  <c r="AW278" i="3"/>
  <c r="AV278" i="3"/>
  <c r="AC278" i="3"/>
  <c r="H278" i="3"/>
  <c r="G278" i="3" s="1"/>
  <c r="BP277" i="3"/>
  <c r="BO277" i="3"/>
  <c r="BN277" i="3"/>
  <c r="BM277" i="3"/>
  <c r="BL277" i="3"/>
  <c r="AZ277" i="3" s="1"/>
  <c r="AX277" i="3"/>
  <c r="AW277" i="3"/>
  <c r="AV277" i="3"/>
  <c r="AC277" i="3"/>
  <c r="H277" i="3"/>
  <c r="G277" i="3" s="1"/>
  <c r="BP276" i="3"/>
  <c r="BO276" i="3"/>
  <c r="BN276" i="3"/>
  <c r="BM276" i="3"/>
  <c r="BL276" i="3"/>
  <c r="AZ276" i="3" s="1"/>
  <c r="AX276" i="3"/>
  <c r="AW276" i="3"/>
  <c r="AV276" i="3"/>
  <c r="AC276" i="3"/>
  <c r="H276" i="3"/>
  <c r="G276" i="3" s="1"/>
  <c r="BP275" i="3"/>
  <c r="BO275" i="3"/>
  <c r="BN275" i="3"/>
  <c r="BM275" i="3"/>
  <c r="BL275" i="3"/>
  <c r="AX275" i="3"/>
  <c r="AW275" i="3"/>
  <c r="AV275" i="3"/>
  <c r="AC275" i="3"/>
  <c r="H275" i="3"/>
  <c r="G275" i="3"/>
  <c r="BP274" i="3"/>
  <c r="BO274" i="3"/>
  <c r="BN274" i="3"/>
  <c r="BM274" i="3"/>
  <c r="BL274" i="3" s="1"/>
  <c r="AZ274" i="3" s="1"/>
  <c r="AX274" i="3"/>
  <c r="AW274" i="3"/>
  <c r="AV274" i="3"/>
  <c r="AC274" i="3"/>
  <c r="H274" i="3"/>
  <c r="G274" i="3"/>
  <c r="BP273" i="3"/>
  <c r="BO273" i="3"/>
  <c r="BN273" i="3"/>
  <c r="BM273" i="3"/>
  <c r="BL273" i="3" s="1"/>
  <c r="AX273" i="3"/>
  <c r="AW273" i="3"/>
  <c r="AV273" i="3"/>
  <c r="AC273" i="3"/>
  <c r="H273" i="3"/>
  <c r="G273" i="3" s="1"/>
  <c r="BP272" i="3"/>
  <c r="BO272" i="3"/>
  <c r="BN272" i="3"/>
  <c r="BM272" i="3"/>
  <c r="BL272" i="3"/>
  <c r="AZ272" i="3" s="1"/>
  <c r="AX272" i="3"/>
  <c r="AW272" i="3"/>
  <c r="AV272" i="3"/>
  <c r="AC272" i="3"/>
  <c r="H272" i="3"/>
  <c r="G272" i="3" s="1"/>
  <c r="BP271" i="3"/>
  <c r="BO271" i="3"/>
  <c r="BN271" i="3"/>
  <c r="BM271" i="3"/>
  <c r="BL271" i="3"/>
  <c r="AX271" i="3"/>
  <c r="AW271" i="3"/>
  <c r="AV271" i="3"/>
  <c r="AC271" i="3"/>
  <c r="H271" i="3"/>
  <c r="G271" i="3"/>
  <c r="BP270" i="3"/>
  <c r="BO270" i="3"/>
  <c r="BN270" i="3"/>
  <c r="BM270" i="3"/>
  <c r="BL270" i="3" s="1"/>
  <c r="AZ270" i="3" s="1"/>
  <c r="AX270" i="3"/>
  <c r="AW270" i="3"/>
  <c r="AV270" i="3"/>
  <c r="AC270" i="3"/>
  <c r="H270" i="3"/>
  <c r="G270" i="3"/>
  <c r="BP269" i="3"/>
  <c r="BO269" i="3"/>
  <c r="BN269" i="3"/>
  <c r="BM269" i="3"/>
  <c r="BL269" i="3" s="1"/>
  <c r="AX269" i="3"/>
  <c r="AW269" i="3"/>
  <c r="AV269" i="3"/>
  <c r="AC269" i="3"/>
  <c r="H269" i="3"/>
  <c r="G269" i="3" s="1"/>
  <c r="BP268" i="3"/>
  <c r="BO268" i="3"/>
  <c r="BN268" i="3"/>
  <c r="BM268" i="3"/>
  <c r="BL268" i="3"/>
  <c r="AX268" i="3"/>
  <c r="AW268" i="3"/>
  <c r="AV268" i="3"/>
  <c r="AC268" i="3"/>
  <c r="H268" i="3"/>
  <c r="G268" i="3"/>
  <c r="BP267" i="3"/>
  <c r="BO267" i="3"/>
  <c r="BN267" i="3"/>
  <c r="BM267" i="3"/>
  <c r="BL267" i="3" s="1"/>
  <c r="AZ267" i="3" s="1"/>
  <c r="AX267" i="3"/>
  <c r="AW267" i="3"/>
  <c r="AV267" i="3"/>
  <c r="AC267" i="3"/>
  <c r="H267" i="3"/>
  <c r="G267" i="3"/>
  <c r="BP266" i="3"/>
  <c r="BO266" i="3"/>
  <c r="BN266" i="3"/>
  <c r="BM266" i="3"/>
  <c r="BL266" i="3" s="1"/>
  <c r="AX266" i="3"/>
  <c r="AW266" i="3"/>
  <c r="AV266" i="3"/>
  <c r="AC266" i="3"/>
  <c r="H266" i="3"/>
  <c r="G266" i="3" s="1"/>
  <c r="BP265" i="3"/>
  <c r="BO265" i="3"/>
  <c r="BN265" i="3"/>
  <c r="BM265" i="3"/>
  <c r="BL265" i="3"/>
  <c r="AX265" i="3"/>
  <c r="AW265" i="3"/>
  <c r="AV265" i="3"/>
  <c r="AC265" i="3"/>
  <c r="H265" i="3"/>
  <c r="G265" i="3"/>
  <c r="BP264" i="3"/>
  <c r="BO264" i="3"/>
  <c r="BN264" i="3"/>
  <c r="BM264" i="3"/>
  <c r="BL264" i="3" s="1"/>
  <c r="AZ264" i="3" s="1"/>
  <c r="AX264" i="3"/>
  <c r="AW264" i="3"/>
  <c r="AV264" i="3"/>
  <c r="AC264" i="3"/>
  <c r="H264" i="3"/>
  <c r="G264" i="3"/>
  <c r="BP263" i="3"/>
  <c r="BO263" i="3"/>
  <c r="BN263" i="3"/>
  <c r="BM263" i="3"/>
  <c r="BL263" i="3" s="1"/>
  <c r="AX263" i="3"/>
  <c r="AW263" i="3"/>
  <c r="AV263" i="3"/>
  <c r="AC263" i="3"/>
  <c r="H263" i="3"/>
  <c r="G263" i="3" s="1"/>
  <c r="BP262" i="3"/>
  <c r="BO262" i="3"/>
  <c r="BN262" i="3"/>
  <c r="BM262" i="3"/>
  <c r="BL262" i="3"/>
  <c r="AZ262" i="3" s="1"/>
  <c r="AX262" i="3"/>
  <c r="AW262" i="3"/>
  <c r="AV262" i="3"/>
  <c r="AC262" i="3"/>
  <c r="H262" i="3"/>
  <c r="G262" i="3" s="1"/>
  <c r="BP261" i="3"/>
  <c r="BO261" i="3"/>
  <c r="BN261" i="3"/>
  <c r="BM261" i="3"/>
  <c r="BL261" i="3"/>
  <c r="AX261" i="3"/>
  <c r="AW261" i="3"/>
  <c r="AV261" i="3"/>
  <c r="AC261" i="3"/>
  <c r="H261" i="3"/>
  <c r="G261" i="3"/>
  <c r="BP260" i="3"/>
  <c r="BO260" i="3"/>
  <c r="BN260" i="3"/>
  <c r="BM260" i="3"/>
  <c r="BL260" i="3" s="1"/>
  <c r="AZ260" i="3" s="1"/>
  <c r="AX260" i="3"/>
  <c r="AW260" i="3"/>
  <c r="AV260" i="3"/>
  <c r="AC260" i="3"/>
  <c r="H260" i="3"/>
  <c r="G260" i="3"/>
  <c r="BP259" i="3"/>
  <c r="BO259" i="3"/>
  <c r="BN259" i="3"/>
  <c r="BM259" i="3"/>
  <c r="BL259" i="3" s="1"/>
  <c r="AX259" i="3"/>
  <c r="AW259" i="3"/>
  <c r="AV259" i="3"/>
  <c r="AC259" i="3"/>
  <c r="H259" i="3"/>
  <c r="G259" i="3" s="1"/>
  <c r="BP258" i="3"/>
  <c r="BO258" i="3"/>
  <c r="BN258" i="3"/>
  <c r="BM258" i="3"/>
  <c r="BL258" i="3"/>
  <c r="AZ258" i="3" s="1"/>
  <c r="AX258" i="3"/>
  <c r="AW258" i="3"/>
  <c r="AV258" i="3"/>
  <c r="AC258" i="3"/>
  <c r="H258" i="3"/>
  <c r="G258" i="3" s="1"/>
  <c r="BP257" i="3"/>
  <c r="BO257" i="3"/>
  <c r="BN257" i="3"/>
  <c r="BM257" i="3"/>
  <c r="BL257" i="3"/>
  <c r="AX257" i="3"/>
  <c r="AW257" i="3"/>
  <c r="AV257" i="3"/>
  <c r="AC257" i="3"/>
  <c r="H257" i="3"/>
  <c r="G257" i="3"/>
  <c r="BP256" i="3"/>
  <c r="BO256" i="3"/>
  <c r="BN256" i="3"/>
  <c r="BM256" i="3"/>
  <c r="BL256" i="3" s="1"/>
  <c r="AX256" i="3"/>
  <c r="AW256" i="3"/>
  <c r="AV256" i="3"/>
  <c r="AC256" i="3"/>
  <c r="H256" i="3"/>
  <c r="G256" i="3" s="1"/>
  <c r="BP255" i="3"/>
  <c r="BO255" i="3"/>
  <c r="BN255" i="3"/>
  <c r="BM255" i="3"/>
  <c r="BL255" i="3"/>
  <c r="AZ255" i="3" s="1"/>
  <c r="AX255" i="3"/>
  <c r="AW255" i="3"/>
  <c r="AV255" i="3"/>
  <c r="AC255" i="3"/>
  <c r="H255" i="3"/>
  <c r="G255" i="3" s="1"/>
  <c r="BP254" i="3"/>
  <c r="BO254" i="3"/>
  <c r="BN254" i="3"/>
  <c r="BM254" i="3"/>
  <c r="BL254" i="3"/>
  <c r="AX254" i="3"/>
  <c r="AW254" i="3"/>
  <c r="AV254" i="3"/>
  <c r="AC254" i="3"/>
  <c r="H254" i="3"/>
  <c r="G254" i="3"/>
  <c r="BP253" i="3"/>
  <c r="BO253" i="3"/>
  <c r="BN253" i="3"/>
  <c r="BM253" i="3"/>
  <c r="BL253" i="3" s="1"/>
  <c r="AX253" i="3"/>
  <c r="AW253" i="3"/>
  <c r="AV253" i="3"/>
  <c r="AC253" i="3"/>
  <c r="H253" i="3"/>
  <c r="G253" i="3" s="1"/>
  <c r="BP252" i="3"/>
  <c r="BO252" i="3"/>
  <c r="BN252" i="3"/>
  <c r="BM252" i="3"/>
  <c r="BL252" i="3"/>
  <c r="AZ252" i="3" s="1"/>
  <c r="AX252" i="3"/>
  <c r="AW252" i="3"/>
  <c r="AV252" i="3"/>
  <c r="AC252" i="3"/>
  <c r="H252" i="3"/>
  <c r="G252" i="3" s="1"/>
  <c r="BP251" i="3"/>
  <c r="BO251" i="3"/>
  <c r="BN251" i="3"/>
  <c r="BM251" i="3"/>
  <c r="BL251" i="3"/>
  <c r="AX251" i="3"/>
  <c r="AW251" i="3"/>
  <c r="AV251" i="3"/>
  <c r="AC251" i="3"/>
  <c r="H251" i="3"/>
  <c r="G251" i="3"/>
  <c r="BP250" i="3"/>
  <c r="BO250" i="3"/>
  <c r="BN250" i="3"/>
  <c r="BM250" i="3"/>
  <c r="BL250" i="3" s="1"/>
  <c r="AX250" i="3"/>
  <c r="AW250" i="3"/>
  <c r="AV250" i="3"/>
  <c r="AC250" i="3"/>
  <c r="H250" i="3"/>
  <c r="G250" i="3" s="1"/>
  <c r="BP249" i="3"/>
  <c r="BO249" i="3"/>
  <c r="BN249" i="3"/>
  <c r="BM249" i="3"/>
  <c r="BL249" i="3"/>
  <c r="AX249" i="3"/>
  <c r="AW249" i="3"/>
  <c r="AV249" i="3"/>
  <c r="AC249" i="3"/>
  <c r="H249" i="3"/>
  <c r="G249" i="3"/>
  <c r="BP248" i="3"/>
  <c r="BO248" i="3"/>
  <c r="BN248" i="3"/>
  <c r="BM248" i="3"/>
  <c r="BL248" i="3" s="1"/>
  <c r="AX248" i="3"/>
  <c r="AW248" i="3"/>
  <c r="AV248" i="3"/>
  <c r="AC248" i="3"/>
  <c r="H248" i="3"/>
  <c r="G248" i="3" s="1"/>
  <c r="BP247" i="3"/>
  <c r="BO247" i="3"/>
  <c r="BN247" i="3"/>
  <c r="BM247" i="3"/>
  <c r="BL247" i="3"/>
  <c r="AZ247" i="3" s="1"/>
  <c r="AX247" i="3"/>
  <c r="AW247" i="3"/>
  <c r="AV247" i="3"/>
  <c r="AC247" i="3"/>
  <c r="H247" i="3"/>
  <c r="G247" i="3" s="1"/>
  <c r="BP246" i="3"/>
  <c r="BO246" i="3"/>
  <c r="BN246" i="3"/>
  <c r="BM246" i="3"/>
  <c r="BL246" i="3"/>
  <c r="AZ246" i="3" s="1"/>
  <c r="AX246" i="3"/>
  <c r="AW246" i="3"/>
  <c r="AV246" i="3"/>
  <c r="AC246" i="3"/>
  <c r="H246" i="3"/>
  <c r="G246" i="3" s="1"/>
  <c r="BP245" i="3"/>
  <c r="BO245" i="3"/>
  <c r="BN245" i="3"/>
  <c r="BM245" i="3"/>
  <c r="BL245" i="3"/>
  <c r="AX245" i="3"/>
  <c r="AW245" i="3"/>
  <c r="AV245" i="3"/>
  <c r="AC245" i="3"/>
  <c r="H245" i="3"/>
  <c r="G245" i="3"/>
  <c r="BP244" i="3"/>
  <c r="BO244" i="3"/>
  <c r="BN244" i="3"/>
  <c r="BM244" i="3"/>
  <c r="BL244" i="3" s="1"/>
  <c r="AZ244" i="3" s="1"/>
  <c r="AX244" i="3"/>
  <c r="AW244" i="3"/>
  <c r="AV244" i="3"/>
  <c r="AC244" i="3"/>
  <c r="H244" i="3"/>
  <c r="G244" i="3"/>
  <c r="BP243" i="3"/>
  <c r="BO243" i="3"/>
  <c r="BN243" i="3"/>
  <c r="BM243" i="3"/>
  <c r="BL243" i="3" s="1"/>
  <c r="AX243" i="3"/>
  <c r="AW243" i="3"/>
  <c r="AV243" i="3"/>
  <c r="AC243" i="3"/>
  <c r="H243" i="3"/>
  <c r="G243" i="3" s="1"/>
  <c r="BP242" i="3"/>
  <c r="BO242" i="3"/>
  <c r="BN242" i="3"/>
  <c r="BM242" i="3"/>
  <c r="BL242" i="3"/>
  <c r="AZ242" i="3" s="1"/>
  <c r="AX242" i="3"/>
  <c r="AW242" i="3"/>
  <c r="AV242" i="3"/>
  <c r="AC242" i="3"/>
  <c r="H242" i="3"/>
  <c r="G242" i="3" s="1"/>
  <c r="BP241" i="3"/>
  <c r="BO241" i="3"/>
  <c r="BN241" i="3"/>
  <c r="BM241" i="3"/>
  <c r="BL241" i="3"/>
  <c r="AX241" i="3"/>
  <c r="AW241" i="3"/>
  <c r="AV241" i="3"/>
  <c r="AC241" i="3"/>
  <c r="H241" i="3"/>
  <c r="G241" i="3"/>
  <c r="BP240" i="3"/>
  <c r="BO240" i="3"/>
  <c r="BN240" i="3"/>
  <c r="BM240" i="3"/>
  <c r="BL240" i="3" s="1"/>
  <c r="AX240" i="3"/>
  <c r="AW240" i="3"/>
  <c r="AV240" i="3"/>
  <c r="AC240" i="3"/>
  <c r="H240" i="3"/>
  <c r="G240" i="3" s="1"/>
  <c r="BP239" i="3"/>
  <c r="BO239" i="3"/>
  <c r="BN239" i="3"/>
  <c r="BM239" i="3"/>
  <c r="BL239" i="3"/>
  <c r="AZ239" i="3" s="1"/>
  <c r="AX239" i="3"/>
  <c r="AW239" i="3"/>
  <c r="AV239" i="3"/>
  <c r="AC239" i="3"/>
  <c r="H239" i="3"/>
  <c r="G239" i="3" s="1"/>
  <c r="BP238" i="3"/>
  <c r="BO238" i="3"/>
  <c r="BN238" i="3"/>
  <c r="BM238" i="3"/>
  <c r="BL238" i="3"/>
  <c r="AX238" i="3"/>
  <c r="AW238" i="3"/>
  <c r="AV238" i="3"/>
  <c r="AC238" i="3"/>
  <c r="H238" i="3"/>
  <c r="G238" i="3"/>
  <c r="BP237" i="3"/>
  <c r="BO237" i="3"/>
  <c r="BN237" i="3"/>
  <c r="BM237" i="3"/>
  <c r="BL237" i="3" s="1"/>
  <c r="AX237" i="3"/>
  <c r="AW237" i="3"/>
  <c r="AV237" i="3"/>
  <c r="AC237" i="3"/>
  <c r="H237" i="3"/>
  <c r="G237" i="3" s="1"/>
  <c r="BP236" i="3"/>
  <c r="BO236" i="3"/>
  <c r="BN236" i="3"/>
  <c r="BM236" i="3"/>
  <c r="BL236" i="3"/>
  <c r="AZ236" i="3" s="1"/>
  <c r="AX236" i="3"/>
  <c r="AW236" i="3"/>
  <c r="AV236" i="3"/>
  <c r="AC236" i="3"/>
  <c r="H236" i="3"/>
  <c r="G236" i="3" s="1"/>
  <c r="BP235" i="3"/>
  <c r="BO235" i="3"/>
  <c r="BN235" i="3"/>
  <c r="BM235" i="3"/>
  <c r="BL235" i="3"/>
  <c r="AX235" i="3"/>
  <c r="AW235" i="3"/>
  <c r="AV235" i="3"/>
  <c r="AC235" i="3"/>
  <c r="H235" i="3"/>
  <c r="G235" i="3"/>
  <c r="BP234" i="3"/>
  <c r="BO234" i="3"/>
  <c r="BN234" i="3"/>
  <c r="BM234" i="3"/>
  <c r="BL234" i="3" s="1"/>
  <c r="AX234" i="3"/>
  <c r="AW234" i="3"/>
  <c r="AV234" i="3"/>
  <c r="AC234" i="3"/>
  <c r="H234" i="3"/>
  <c r="G234" i="3" s="1"/>
  <c r="BP233" i="3"/>
  <c r="BO233" i="3"/>
  <c r="BN233" i="3"/>
  <c r="BM233" i="3"/>
  <c r="BL233" i="3"/>
  <c r="AX233" i="3"/>
  <c r="AW233" i="3"/>
  <c r="AV233" i="3"/>
  <c r="AC233" i="3"/>
  <c r="H233" i="3"/>
  <c r="G233" i="3"/>
  <c r="BP232" i="3"/>
  <c r="BO232" i="3"/>
  <c r="BN232" i="3"/>
  <c r="BM232" i="3"/>
  <c r="BL232" i="3" s="1"/>
  <c r="AX232" i="3"/>
  <c r="AW232" i="3"/>
  <c r="AV232" i="3"/>
  <c r="AC232" i="3"/>
  <c r="H232" i="3"/>
  <c r="G232" i="3" s="1"/>
  <c r="BP231" i="3"/>
  <c r="BO231" i="3"/>
  <c r="BN231" i="3"/>
  <c r="BM231" i="3"/>
  <c r="BL231" i="3"/>
  <c r="AZ231" i="3" s="1"/>
  <c r="AX231" i="3"/>
  <c r="AW231" i="3"/>
  <c r="AV231" i="3"/>
  <c r="AC231" i="3"/>
  <c r="H231" i="3"/>
  <c r="G231" i="3" s="1"/>
  <c r="BP230" i="3"/>
  <c r="BO230" i="3"/>
  <c r="BN230" i="3"/>
  <c r="BM230" i="3"/>
  <c r="BL230" i="3"/>
  <c r="AZ230" i="3" s="1"/>
  <c r="AX230" i="3"/>
  <c r="AW230" i="3"/>
  <c r="AV230" i="3"/>
  <c r="AC230" i="3"/>
  <c r="H230" i="3"/>
  <c r="G230" i="3" s="1"/>
  <c r="BP229" i="3"/>
  <c r="BO229" i="3"/>
  <c r="BN229" i="3"/>
  <c r="BM229" i="3"/>
  <c r="BL229" i="3"/>
  <c r="AX229" i="3"/>
  <c r="AW229" i="3"/>
  <c r="AV229" i="3"/>
  <c r="AC229" i="3"/>
  <c r="H229" i="3"/>
  <c r="G229" i="3"/>
  <c r="BP228" i="3"/>
  <c r="BO228" i="3"/>
  <c r="BN228" i="3"/>
  <c r="BM228" i="3"/>
  <c r="BL228" i="3" s="1"/>
  <c r="AZ228" i="3" s="1"/>
  <c r="AX228" i="3"/>
  <c r="AW228" i="3"/>
  <c r="AV228" i="3"/>
  <c r="AC228" i="3"/>
  <c r="H228" i="3"/>
  <c r="G228" i="3"/>
  <c r="BP227" i="3"/>
  <c r="BO227" i="3"/>
  <c r="BN227" i="3"/>
  <c r="BM227" i="3"/>
  <c r="BL227" i="3" s="1"/>
  <c r="AX227" i="3"/>
  <c r="AW227" i="3"/>
  <c r="AV227" i="3"/>
  <c r="AC227" i="3"/>
  <c r="H227" i="3"/>
  <c r="G227" i="3" s="1"/>
  <c r="BP226" i="3"/>
  <c r="BO226" i="3"/>
  <c r="BN226" i="3"/>
  <c r="BM226" i="3"/>
  <c r="BL226" i="3"/>
  <c r="AZ226" i="3" s="1"/>
  <c r="AX226" i="3"/>
  <c r="AW226" i="3"/>
  <c r="AV226" i="3"/>
  <c r="AC226" i="3"/>
  <c r="H226" i="3"/>
  <c r="G226" i="3" s="1"/>
  <c r="BP225" i="3"/>
  <c r="BO225" i="3"/>
  <c r="BN225" i="3"/>
  <c r="BM225" i="3"/>
  <c r="BL225" i="3"/>
  <c r="AZ225" i="3" s="1"/>
  <c r="AX225" i="3"/>
  <c r="AW225" i="3"/>
  <c r="AV225" i="3"/>
  <c r="AC225" i="3"/>
  <c r="H225" i="3"/>
  <c r="G225" i="3" s="1"/>
  <c r="BP224" i="3"/>
  <c r="BO224" i="3"/>
  <c r="BN224" i="3"/>
  <c r="BM224" i="3"/>
  <c r="BL224" i="3"/>
  <c r="AX224" i="3"/>
  <c r="AW224" i="3"/>
  <c r="AV224" i="3"/>
  <c r="AC224" i="3"/>
  <c r="H224" i="3"/>
  <c r="G224" i="3"/>
  <c r="BP223" i="3"/>
  <c r="BO223" i="3"/>
  <c r="BN223" i="3"/>
  <c r="BM223" i="3"/>
  <c r="BL223" i="3" s="1"/>
  <c r="AX223" i="3"/>
  <c r="AW223" i="3"/>
  <c r="AV223" i="3"/>
  <c r="AC223" i="3"/>
  <c r="H223" i="3"/>
  <c r="G223" i="3" s="1"/>
  <c r="BP222" i="3"/>
  <c r="BO222" i="3"/>
  <c r="BN222" i="3"/>
  <c r="BM222" i="3"/>
  <c r="BL222" i="3"/>
  <c r="AX222" i="3"/>
  <c r="AW222" i="3"/>
  <c r="AV222" i="3"/>
  <c r="AC222" i="3"/>
  <c r="H222" i="3"/>
  <c r="G222" i="3"/>
  <c r="BP221" i="3"/>
  <c r="BO221" i="3"/>
  <c r="BN221" i="3"/>
  <c r="BM221" i="3"/>
  <c r="BL221" i="3" s="1"/>
  <c r="AZ221" i="3" s="1"/>
  <c r="AX221" i="3"/>
  <c r="AW221" i="3"/>
  <c r="AV221" i="3"/>
  <c r="AC221" i="3"/>
  <c r="H221" i="3"/>
  <c r="G221" i="3"/>
  <c r="BP220" i="3"/>
  <c r="BO220" i="3"/>
  <c r="BN220" i="3"/>
  <c r="BM220" i="3"/>
  <c r="BL220" i="3" s="1"/>
  <c r="AZ220" i="3" s="1"/>
  <c r="AX220" i="3"/>
  <c r="AW220" i="3"/>
  <c r="AV220" i="3"/>
  <c r="AC220" i="3"/>
  <c r="H220" i="3"/>
  <c r="G220" i="3"/>
  <c r="BP219" i="3"/>
  <c r="BO219" i="3"/>
  <c r="BN219" i="3"/>
  <c r="BM219" i="3"/>
  <c r="BL219" i="3" s="1"/>
  <c r="AZ219" i="3" s="1"/>
  <c r="AX219" i="3"/>
  <c r="AW219" i="3"/>
  <c r="AV219" i="3"/>
  <c r="AC219" i="3"/>
  <c r="H219" i="3"/>
  <c r="G219" i="3"/>
  <c r="BP218" i="3"/>
  <c r="BO218" i="3"/>
  <c r="BN218" i="3"/>
  <c r="BM218" i="3"/>
  <c r="BL218" i="3" s="1"/>
  <c r="AX218" i="3"/>
  <c r="AW218" i="3"/>
  <c r="AV218" i="3"/>
  <c r="AC218" i="3"/>
  <c r="H218" i="3"/>
  <c r="G218" i="3" s="1"/>
  <c r="BP217" i="3"/>
  <c r="BO217" i="3"/>
  <c r="BN217" i="3"/>
  <c r="BM217" i="3"/>
  <c r="BL217" i="3"/>
  <c r="AZ217" i="3" s="1"/>
  <c r="AX217" i="3"/>
  <c r="AW217" i="3"/>
  <c r="AV217" i="3"/>
  <c r="AC217" i="3"/>
  <c r="H217" i="3"/>
  <c r="G217" i="3" s="1"/>
  <c r="BP216" i="3"/>
  <c r="BO216" i="3"/>
  <c r="BN216" i="3"/>
  <c r="BM216" i="3"/>
  <c r="BL216" i="3"/>
  <c r="AZ216" i="3" s="1"/>
  <c r="AX216" i="3"/>
  <c r="AW216" i="3"/>
  <c r="AV216" i="3"/>
  <c r="AC216" i="3"/>
  <c r="H216" i="3"/>
  <c r="G216" i="3" s="1"/>
  <c r="BP215" i="3"/>
  <c r="BO215" i="3"/>
  <c r="BN215" i="3"/>
  <c r="BM215" i="3"/>
  <c r="BL215" i="3"/>
  <c r="AX215" i="3"/>
  <c r="AW215" i="3"/>
  <c r="AV215" i="3"/>
  <c r="AC215" i="3"/>
  <c r="H215" i="3"/>
  <c r="G215" i="3"/>
  <c r="BP214" i="3"/>
  <c r="BO214" i="3"/>
  <c r="BN214" i="3"/>
  <c r="BM214" i="3"/>
  <c r="BL214" i="3" s="1"/>
  <c r="AX214" i="3"/>
  <c r="AW214" i="3"/>
  <c r="AV214" i="3"/>
  <c r="AC214" i="3"/>
  <c r="H214" i="3"/>
  <c r="G214" i="3" s="1"/>
  <c r="BP213" i="3"/>
  <c r="BO213" i="3"/>
  <c r="BN213" i="3"/>
  <c r="BM213" i="3"/>
  <c r="BL213" i="3"/>
  <c r="AX213" i="3"/>
  <c r="AW213" i="3"/>
  <c r="AV213" i="3"/>
  <c r="AC213" i="3"/>
  <c r="H213" i="3"/>
  <c r="G213" i="3"/>
  <c r="BP212" i="3"/>
  <c r="BO212" i="3"/>
  <c r="BN212" i="3"/>
  <c r="BM212" i="3"/>
  <c r="BL212" i="3" s="1"/>
  <c r="AZ212" i="3" s="1"/>
  <c r="AX212" i="3"/>
  <c r="AW212" i="3"/>
  <c r="AV212" i="3"/>
  <c r="AC212" i="3"/>
  <c r="H212" i="3"/>
  <c r="G212" i="3"/>
  <c r="BP211" i="3"/>
  <c r="BO211" i="3"/>
  <c r="BN211" i="3"/>
  <c r="BM211" i="3"/>
  <c r="BL211" i="3" s="1"/>
  <c r="AZ211" i="3" s="1"/>
  <c r="AX211" i="3"/>
  <c r="AW211" i="3"/>
  <c r="AV211" i="3"/>
  <c r="AC211" i="3"/>
  <c r="H211" i="3"/>
  <c r="G211" i="3"/>
  <c r="BP210" i="3"/>
  <c r="BO210" i="3"/>
  <c r="BN210" i="3"/>
  <c r="BM210" i="3"/>
  <c r="BL210" i="3" s="1"/>
  <c r="AZ210" i="3" s="1"/>
  <c r="AX210" i="3"/>
  <c r="AW210" i="3"/>
  <c r="AV210" i="3"/>
  <c r="AC210" i="3"/>
  <c r="H210" i="3"/>
  <c r="G210" i="3"/>
  <c r="BP209" i="3"/>
  <c r="BO209" i="3"/>
  <c r="BN209" i="3"/>
  <c r="BM209" i="3"/>
  <c r="BL209" i="3" s="1"/>
  <c r="AX209" i="3"/>
  <c r="AW209" i="3"/>
  <c r="AV209" i="3"/>
  <c r="AC209" i="3"/>
  <c r="H209" i="3"/>
  <c r="G209" i="3" s="1"/>
  <c r="BP208" i="3"/>
  <c r="BO208" i="3"/>
  <c r="BN208" i="3"/>
  <c r="BM208" i="3"/>
  <c r="BL208" i="3"/>
  <c r="AZ208" i="3" s="1"/>
  <c r="AX208" i="3"/>
  <c r="AW208" i="3"/>
  <c r="AV208" i="3"/>
  <c r="AC208" i="3"/>
  <c r="H208" i="3"/>
  <c r="G208" i="3" s="1"/>
  <c r="BP397" i="3"/>
  <c r="BO397" i="3"/>
  <c r="BN397" i="3"/>
  <c r="BM397" i="3"/>
  <c r="BL397" i="3"/>
  <c r="AZ397" i="3" s="1"/>
  <c r="AX397" i="3"/>
  <c r="AW397" i="3"/>
  <c r="AV397" i="3"/>
  <c r="AC397" i="3"/>
  <c r="H397" i="3"/>
  <c r="G397" i="3" s="1"/>
  <c r="BP396" i="3"/>
  <c r="BO396" i="3"/>
  <c r="BN396" i="3"/>
  <c r="BM396" i="3"/>
  <c r="BL396" i="3"/>
  <c r="AX396" i="3"/>
  <c r="AW396" i="3"/>
  <c r="AV396" i="3"/>
  <c r="AC396" i="3"/>
  <c r="H396" i="3"/>
  <c r="G396" i="3"/>
  <c r="BP395" i="3"/>
  <c r="BO395" i="3"/>
  <c r="BN395" i="3"/>
  <c r="BM395" i="3"/>
  <c r="BL395" i="3" s="1"/>
  <c r="AZ395" i="3" s="1"/>
  <c r="AX395" i="3"/>
  <c r="AW395" i="3"/>
  <c r="AV395" i="3"/>
  <c r="AC395" i="3"/>
  <c r="H395" i="3"/>
  <c r="G395" i="3"/>
  <c r="BP394" i="3"/>
  <c r="BO394" i="3"/>
  <c r="BN394" i="3"/>
  <c r="BM394" i="3"/>
  <c r="AX394" i="3"/>
  <c r="AW394" i="3"/>
  <c r="AV394" i="3"/>
  <c r="AC394" i="3"/>
  <c r="H394" i="3"/>
  <c r="BP393" i="3"/>
  <c r="BO393" i="3"/>
  <c r="BN393" i="3"/>
  <c r="BM393" i="3"/>
  <c r="BL393" i="3"/>
  <c r="AX393" i="3"/>
  <c r="AW393" i="3"/>
  <c r="AV393" i="3"/>
  <c r="AC393" i="3"/>
  <c r="H393" i="3"/>
  <c r="BP392" i="3"/>
  <c r="BO392" i="3"/>
  <c r="BN392" i="3"/>
  <c r="BM392" i="3"/>
  <c r="AX392" i="3"/>
  <c r="AW392" i="3"/>
  <c r="AV392" i="3"/>
  <c r="AC392" i="3"/>
  <c r="H392" i="3"/>
  <c r="G392" i="3" s="1"/>
  <c r="BP391" i="3"/>
  <c r="BO391" i="3"/>
  <c r="BN391" i="3"/>
  <c r="BM391" i="3"/>
  <c r="AX391" i="3"/>
  <c r="AW391" i="3"/>
  <c r="AV391" i="3"/>
  <c r="AC391" i="3"/>
  <c r="H391" i="3"/>
  <c r="BP390" i="3"/>
  <c r="BO390" i="3"/>
  <c r="BN390" i="3"/>
  <c r="BM390" i="3"/>
  <c r="AX390" i="3"/>
  <c r="AW390" i="3"/>
  <c r="AV390" i="3"/>
  <c r="AC390" i="3"/>
  <c r="H390" i="3"/>
  <c r="BP389" i="3"/>
  <c r="BO389" i="3"/>
  <c r="BN389" i="3"/>
  <c r="BM389" i="3"/>
  <c r="AX389" i="3"/>
  <c r="AW389" i="3"/>
  <c r="AV389" i="3"/>
  <c r="AC389" i="3"/>
  <c r="H389" i="3"/>
  <c r="BP388" i="3"/>
  <c r="BO388" i="3"/>
  <c r="BN388" i="3"/>
  <c r="BM388" i="3"/>
  <c r="AX388" i="3"/>
  <c r="AW388" i="3"/>
  <c r="AV388" i="3"/>
  <c r="AC388" i="3"/>
  <c r="H388" i="3"/>
  <c r="BP387" i="3"/>
  <c r="BO387" i="3"/>
  <c r="BN387" i="3"/>
  <c r="BM387" i="3"/>
  <c r="AX387" i="3"/>
  <c r="AW387" i="3"/>
  <c r="AV387" i="3"/>
  <c r="AC387" i="3"/>
  <c r="H387" i="3"/>
  <c r="G387" i="3" s="1"/>
  <c r="BP386" i="3"/>
  <c r="BO386" i="3"/>
  <c r="BN386" i="3"/>
  <c r="BM386" i="3"/>
  <c r="BL386" i="3"/>
  <c r="AX386" i="3"/>
  <c r="AW386" i="3"/>
  <c r="AV386" i="3"/>
  <c r="AC386" i="3"/>
  <c r="H386" i="3"/>
  <c r="BP385" i="3"/>
  <c r="BO385" i="3"/>
  <c r="BN385" i="3"/>
  <c r="BM385" i="3"/>
  <c r="BL385" i="3"/>
  <c r="AZ385" i="3" s="1"/>
  <c r="AX385" i="3"/>
  <c r="AW385" i="3"/>
  <c r="AV385" i="3"/>
  <c r="AC385" i="3"/>
  <c r="H385" i="3"/>
  <c r="BP384" i="3"/>
  <c r="BO384" i="3"/>
  <c r="BN384" i="3"/>
  <c r="BM384" i="3"/>
  <c r="AX384" i="3"/>
  <c r="AW384" i="3"/>
  <c r="AV384" i="3"/>
  <c r="AC384" i="3"/>
  <c r="H384" i="3"/>
  <c r="G384" i="3"/>
  <c r="BP383" i="3"/>
  <c r="BO383" i="3"/>
  <c r="BN383" i="3"/>
  <c r="BM383" i="3"/>
  <c r="BL383" i="3" s="1"/>
  <c r="AX383" i="3"/>
  <c r="AW383" i="3"/>
  <c r="AV383" i="3"/>
  <c r="AC383" i="3"/>
  <c r="H383" i="3"/>
  <c r="BP382" i="3"/>
  <c r="BO382" i="3"/>
  <c r="BN382" i="3"/>
  <c r="BM382" i="3"/>
  <c r="AX382" i="3"/>
  <c r="AW382" i="3"/>
  <c r="AV382" i="3"/>
  <c r="AC382" i="3"/>
  <c r="H382" i="3"/>
  <c r="G382" i="3"/>
  <c r="BP381" i="3"/>
  <c r="BO381" i="3"/>
  <c r="BN381" i="3"/>
  <c r="BM381" i="3"/>
  <c r="BL381" i="3" s="1"/>
  <c r="AX381" i="3"/>
  <c r="AW381" i="3"/>
  <c r="AV381" i="3"/>
  <c r="AC381" i="3"/>
  <c r="H381" i="3"/>
  <c r="BP380" i="3"/>
  <c r="BO380" i="3"/>
  <c r="BN380" i="3"/>
  <c r="BM380" i="3"/>
  <c r="AX380" i="3"/>
  <c r="AW380" i="3"/>
  <c r="AV380" i="3"/>
  <c r="AC380" i="3"/>
  <c r="H380" i="3"/>
  <c r="G380" i="3"/>
  <c r="BP379" i="3"/>
  <c r="BO379" i="3"/>
  <c r="BN379" i="3"/>
  <c r="BM379" i="3"/>
  <c r="AX379" i="3"/>
  <c r="AW379" i="3"/>
  <c r="AV379" i="3"/>
  <c r="AC379" i="3"/>
  <c r="H379" i="3"/>
  <c r="BP378" i="3"/>
  <c r="BO378" i="3"/>
  <c r="BN378" i="3"/>
  <c r="BM378" i="3"/>
  <c r="AX378" i="3"/>
  <c r="AW378" i="3"/>
  <c r="AV378" i="3"/>
  <c r="AC378" i="3"/>
  <c r="H378" i="3"/>
  <c r="G378" i="3" s="1"/>
  <c r="BP377" i="3"/>
  <c r="BO377" i="3"/>
  <c r="BN377" i="3"/>
  <c r="BM377" i="3"/>
  <c r="AX377" i="3"/>
  <c r="AW377" i="3"/>
  <c r="AV377" i="3"/>
  <c r="AC377" i="3"/>
  <c r="H377" i="3"/>
  <c r="BP376" i="3"/>
  <c r="BO376" i="3"/>
  <c r="BN376" i="3"/>
  <c r="BM376" i="3"/>
  <c r="AX376" i="3"/>
  <c r="AW376" i="3"/>
  <c r="AV376" i="3"/>
  <c r="AC376" i="3"/>
  <c r="H376" i="3"/>
  <c r="BP375" i="3"/>
  <c r="BO375" i="3"/>
  <c r="BN375" i="3"/>
  <c r="BM375" i="3"/>
  <c r="BL375" i="3"/>
  <c r="AX375" i="3"/>
  <c r="AW375" i="3"/>
  <c r="AV375" i="3"/>
  <c r="AC375" i="3"/>
  <c r="H375" i="3"/>
  <c r="BP374" i="3"/>
  <c r="BO374" i="3"/>
  <c r="BN374" i="3"/>
  <c r="BM374" i="3"/>
  <c r="AX374" i="3"/>
  <c r="AW374" i="3"/>
  <c r="AV374" i="3"/>
  <c r="AC374" i="3"/>
  <c r="H374" i="3"/>
  <c r="G374" i="3" s="1"/>
  <c r="BP373" i="3"/>
  <c r="BO373" i="3"/>
  <c r="BN373" i="3"/>
  <c r="BM373" i="3"/>
  <c r="AX373" i="3"/>
  <c r="AW373" i="3"/>
  <c r="AV373" i="3"/>
  <c r="AC373" i="3"/>
  <c r="H373" i="3"/>
  <c r="BP372" i="3"/>
  <c r="BO372" i="3"/>
  <c r="BN372" i="3"/>
  <c r="BM372" i="3"/>
  <c r="AX372" i="3"/>
  <c r="AW372" i="3"/>
  <c r="AV372" i="3"/>
  <c r="AC372" i="3"/>
  <c r="H372" i="3"/>
  <c r="BP371" i="3"/>
  <c r="BO371" i="3"/>
  <c r="BN371" i="3"/>
  <c r="BM371" i="3"/>
  <c r="AX371" i="3"/>
  <c r="AW371" i="3"/>
  <c r="AV371" i="3"/>
  <c r="AC371" i="3"/>
  <c r="H371" i="3"/>
  <c r="BP370" i="3"/>
  <c r="BO370" i="3"/>
  <c r="BN370" i="3"/>
  <c r="BM370" i="3"/>
  <c r="AX370" i="3"/>
  <c r="AW370" i="3"/>
  <c r="AV370" i="3"/>
  <c r="AC370" i="3"/>
  <c r="H370" i="3"/>
  <c r="BP369" i="3"/>
  <c r="BO369" i="3"/>
  <c r="BN369" i="3"/>
  <c r="BM369" i="3"/>
  <c r="AX369" i="3"/>
  <c r="AW369" i="3"/>
  <c r="AV369" i="3"/>
  <c r="AC369" i="3"/>
  <c r="H369" i="3"/>
  <c r="G369" i="3" s="1"/>
  <c r="BP368" i="3"/>
  <c r="BO368" i="3"/>
  <c r="BN368" i="3"/>
  <c r="BM368" i="3"/>
  <c r="BL368" i="3"/>
  <c r="AX368" i="3"/>
  <c r="AW368" i="3"/>
  <c r="AV368" i="3"/>
  <c r="AC368" i="3"/>
  <c r="H368" i="3"/>
  <c r="BP367" i="3"/>
  <c r="BO367" i="3"/>
  <c r="BN367" i="3"/>
  <c r="BM367" i="3"/>
  <c r="BL367" i="3"/>
  <c r="AX367" i="3"/>
  <c r="AW367" i="3"/>
  <c r="AV367" i="3"/>
  <c r="AC367" i="3"/>
  <c r="H367" i="3"/>
  <c r="BP366" i="3"/>
  <c r="BO366" i="3"/>
  <c r="BN366" i="3"/>
  <c r="BM366" i="3"/>
  <c r="AX366" i="3"/>
  <c r="AW366" i="3"/>
  <c r="AV366" i="3"/>
  <c r="AC366" i="3"/>
  <c r="H366" i="3"/>
  <c r="G366" i="3" s="1"/>
  <c r="BP365" i="3"/>
  <c r="BO365" i="3"/>
  <c r="BN365" i="3"/>
  <c r="BM365" i="3"/>
  <c r="BL365" i="3"/>
  <c r="AX365" i="3"/>
  <c r="AW365" i="3"/>
  <c r="AV365" i="3"/>
  <c r="AC365" i="3"/>
  <c r="H365" i="3"/>
  <c r="BP364" i="3"/>
  <c r="BO364" i="3"/>
  <c r="BN364" i="3"/>
  <c r="BM364" i="3"/>
  <c r="AX364" i="3"/>
  <c r="AW364" i="3"/>
  <c r="AV364" i="3"/>
  <c r="AC364" i="3"/>
  <c r="H364" i="3"/>
  <c r="G364" i="3" s="1"/>
  <c r="BP363" i="3"/>
  <c r="BO363" i="3"/>
  <c r="BN363" i="3"/>
  <c r="BM363" i="3"/>
  <c r="BL363" i="3"/>
  <c r="AX363" i="3"/>
  <c r="AW363" i="3"/>
  <c r="AV363" i="3"/>
  <c r="AC363" i="3"/>
  <c r="H363" i="3"/>
  <c r="BP362" i="3"/>
  <c r="BO362" i="3"/>
  <c r="BN362" i="3"/>
  <c r="BM362" i="3"/>
  <c r="AX362" i="3"/>
  <c r="AW362" i="3"/>
  <c r="AV362" i="3"/>
  <c r="AC362" i="3"/>
  <c r="H362" i="3"/>
  <c r="G362" i="3" s="1"/>
  <c r="BP361" i="3"/>
  <c r="BO361" i="3"/>
  <c r="BN361" i="3"/>
  <c r="BM361" i="3"/>
  <c r="AX361" i="3"/>
  <c r="AW361" i="3"/>
  <c r="AV361" i="3"/>
  <c r="AC361" i="3"/>
  <c r="H361" i="3"/>
  <c r="BP360" i="3"/>
  <c r="BO360" i="3"/>
  <c r="BN360" i="3"/>
  <c r="BM360" i="3"/>
  <c r="AX360" i="3"/>
  <c r="AW360" i="3"/>
  <c r="AV360" i="3"/>
  <c r="AC360" i="3"/>
  <c r="H360" i="3"/>
  <c r="BP359" i="3"/>
  <c r="BO359" i="3"/>
  <c r="BN359" i="3"/>
  <c r="BM359" i="3"/>
  <c r="BL359" i="3"/>
  <c r="AX359" i="3"/>
  <c r="AW359" i="3"/>
  <c r="AV359" i="3"/>
  <c r="AC359" i="3"/>
  <c r="H359" i="3"/>
  <c r="BP358" i="3"/>
  <c r="BO358" i="3"/>
  <c r="BN358" i="3"/>
  <c r="BM358" i="3"/>
  <c r="AX358" i="3"/>
  <c r="AW358" i="3"/>
  <c r="AV358" i="3"/>
  <c r="AC358" i="3"/>
  <c r="H358" i="3"/>
  <c r="G358" i="3" s="1"/>
  <c r="BP357" i="3"/>
  <c r="BO357" i="3"/>
  <c r="BN357" i="3"/>
  <c r="BM357" i="3"/>
  <c r="AX357" i="3"/>
  <c r="AW357" i="3"/>
  <c r="AV357" i="3"/>
  <c r="AC357" i="3"/>
  <c r="H357" i="3"/>
  <c r="BP356" i="3"/>
  <c r="BO356" i="3"/>
  <c r="BN356" i="3"/>
  <c r="BM356" i="3"/>
  <c r="AX356" i="3"/>
  <c r="AW356" i="3"/>
  <c r="AV356" i="3"/>
  <c r="AC356" i="3"/>
  <c r="H356" i="3"/>
  <c r="BP355" i="3"/>
  <c r="BO355" i="3"/>
  <c r="BN355" i="3"/>
  <c r="BM355" i="3"/>
  <c r="AX355" i="3"/>
  <c r="AW355" i="3"/>
  <c r="AV355" i="3"/>
  <c r="AC355" i="3"/>
  <c r="H355" i="3"/>
  <c r="BP354" i="3"/>
  <c r="BO354" i="3"/>
  <c r="BN354" i="3"/>
  <c r="BM354" i="3"/>
  <c r="BL354" i="3" s="1"/>
  <c r="AX354" i="3"/>
  <c r="AW354" i="3"/>
  <c r="AV354" i="3"/>
  <c r="AC354" i="3"/>
  <c r="H354" i="3"/>
  <c r="BP353" i="3"/>
  <c r="BO353" i="3"/>
  <c r="BN353" i="3"/>
  <c r="BM353" i="3"/>
  <c r="BL353" i="3" s="1"/>
  <c r="AX353" i="3"/>
  <c r="AW353" i="3"/>
  <c r="AV353" i="3"/>
  <c r="AC353" i="3"/>
  <c r="H353" i="3"/>
  <c r="BP352" i="3"/>
  <c r="BO352" i="3"/>
  <c r="BN352" i="3"/>
  <c r="BM352" i="3"/>
  <c r="AX352" i="3"/>
  <c r="AW352" i="3"/>
  <c r="AV352" i="3"/>
  <c r="AC352" i="3"/>
  <c r="H352" i="3"/>
  <c r="BP351" i="3"/>
  <c r="BO351" i="3"/>
  <c r="BN351" i="3"/>
  <c r="BM351" i="3"/>
  <c r="AX351" i="3"/>
  <c r="AW351" i="3"/>
  <c r="AV351" i="3"/>
  <c r="AC351" i="3"/>
  <c r="H351" i="3"/>
  <c r="G351" i="3" s="1"/>
  <c r="BP350" i="3"/>
  <c r="BO350" i="3"/>
  <c r="BN350" i="3"/>
  <c r="BM350" i="3"/>
  <c r="BL350" i="3"/>
  <c r="AX350" i="3"/>
  <c r="AW350" i="3"/>
  <c r="AV350" i="3"/>
  <c r="AC350" i="3"/>
  <c r="H350" i="3"/>
  <c r="BP349" i="3"/>
  <c r="BO349" i="3"/>
  <c r="BN349" i="3"/>
  <c r="BM349" i="3"/>
  <c r="AX349" i="3"/>
  <c r="AW349" i="3"/>
  <c r="AV349" i="3"/>
  <c r="AC349" i="3"/>
  <c r="H349" i="3"/>
  <c r="G349" i="3" s="1"/>
  <c r="BP348" i="3"/>
  <c r="BO348" i="3"/>
  <c r="BN348" i="3"/>
  <c r="BM348" i="3"/>
  <c r="BL348" i="3"/>
  <c r="AX348" i="3"/>
  <c r="AW348" i="3"/>
  <c r="AV348" i="3"/>
  <c r="AC348" i="3"/>
  <c r="H348" i="3"/>
  <c r="BP347" i="3"/>
  <c r="BO347" i="3"/>
  <c r="BN347" i="3"/>
  <c r="BM347" i="3"/>
  <c r="AX347" i="3"/>
  <c r="AW347" i="3"/>
  <c r="AV347" i="3"/>
  <c r="AC347" i="3"/>
  <c r="H347" i="3"/>
  <c r="G347" i="3" s="1"/>
  <c r="BP346" i="3"/>
  <c r="BO346" i="3"/>
  <c r="BN346" i="3"/>
  <c r="BM346" i="3"/>
  <c r="BL346" i="3"/>
  <c r="AX346" i="3"/>
  <c r="AW346" i="3"/>
  <c r="AV346" i="3"/>
  <c r="AC346" i="3"/>
  <c r="H346" i="3"/>
  <c r="BP345" i="3"/>
  <c r="BO345" i="3"/>
  <c r="BN345" i="3"/>
  <c r="BM345" i="3"/>
  <c r="AX345" i="3"/>
  <c r="AW345" i="3"/>
  <c r="AV345" i="3"/>
  <c r="AC345" i="3"/>
  <c r="H345" i="3"/>
  <c r="G345" i="3" s="1"/>
  <c r="BP344" i="3"/>
  <c r="BO344" i="3"/>
  <c r="BN344" i="3"/>
  <c r="BM344" i="3"/>
  <c r="AX344" i="3"/>
  <c r="AW344" i="3"/>
  <c r="AV344" i="3"/>
  <c r="AC344" i="3"/>
  <c r="H344" i="3"/>
  <c r="BP343" i="3"/>
  <c r="BO343" i="3"/>
  <c r="BN343" i="3"/>
  <c r="BM343" i="3"/>
  <c r="AX343" i="3"/>
  <c r="AW343" i="3"/>
  <c r="AV343" i="3"/>
  <c r="AC343" i="3"/>
  <c r="H343" i="3"/>
  <c r="G343" i="3"/>
  <c r="BP342" i="3"/>
  <c r="BO342" i="3"/>
  <c r="BN342" i="3"/>
  <c r="BM342" i="3"/>
  <c r="AX342" i="3"/>
  <c r="AW342" i="3"/>
  <c r="AV342" i="3"/>
  <c r="AC342" i="3"/>
  <c r="H342" i="3"/>
  <c r="BP341" i="3"/>
  <c r="BO341" i="3"/>
  <c r="BN341" i="3"/>
  <c r="BM341" i="3"/>
  <c r="AX341" i="3"/>
  <c r="AW341" i="3"/>
  <c r="AV341" i="3"/>
  <c r="AC341" i="3"/>
  <c r="H341" i="3"/>
  <c r="BP340" i="3"/>
  <c r="BO340" i="3"/>
  <c r="BN340" i="3"/>
  <c r="BM340" i="3"/>
  <c r="BL340" i="3" s="1"/>
  <c r="AX340" i="3"/>
  <c r="AW340" i="3"/>
  <c r="AV340" i="3"/>
  <c r="AC340" i="3"/>
  <c r="H340" i="3"/>
  <c r="BP339" i="3"/>
  <c r="BO339" i="3"/>
  <c r="BN339" i="3"/>
  <c r="BM339" i="3"/>
  <c r="AX339" i="3"/>
  <c r="AW339" i="3"/>
  <c r="AV339" i="3"/>
  <c r="AC339" i="3"/>
  <c r="H339" i="3"/>
  <c r="G339" i="3"/>
  <c r="BP338" i="3"/>
  <c r="BO338" i="3"/>
  <c r="BN338" i="3"/>
  <c r="BM338" i="3"/>
  <c r="AX338" i="3"/>
  <c r="AW338" i="3"/>
  <c r="AV338" i="3"/>
  <c r="AC338" i="3"/>
  <c r="H338" i="3"/>
  <c r="BP337" i="3"/>
  <c r="BO337" i="3"/>
  <c r="BN337" i="3"/>
  <c r="BM337" i="3"/>
  <c r="AX337" i="3"/>
  <c r="AW337" i="3"/>
  <c r="AV337" i="3"/>
  <c r="AC337" i="3"/>
  <c r="H337" i="3"/>
  <c r="BP336" i="3"/>
  <c r="BO336" i="3"/>
  <c r="BN336" i="3"/>
  <c r="BM336" i="3"/>
  <c r="AX336" i="3"/>
  <c r="AW336" i="3"/>
  <c r="AV336" i="3"/>
  <c r="AC336" i="3"/>
  <c r="H336" i="3"/>
  <c r="BP335" i="3"/>
  <c r="BO335" i="3"/>
  <c r="BN335" i="3"/>
  <c r="BM335" i="3"/>
  <c r="AX335" i="3"/>
  <c r="AW335" i="3"/>
  <c r="AV335" i="3"/>
  <c r="AC335" i="3"/>
  <c r="H335" i="3"/>
  <c r="BP334" i="3"/>
  <c r="BO334" i="3"/>
  <c r="BN334" i="3"/>
  <c r="BM334" i="3"/>
  <c r="AX334" i="3"/>
  <c r="AW334" i="3"/>
  <c r="AV334" i="3"/>
  <c r="AC334" i="3"/>
  <c r="H334" i="3"/>
  <c r="G334" i="3"/>
  <c r="BP333" i="3"/>
  <c r="BO333" i="3"/>
  <c r="BN333" i="3"/>
  <c r="BM333" i="3"/>
  <c r="BL333" i="3" s="1"/>
  <c r="AX333" i="3"/>
  <c r="AW333" i="3"/>
  <c r="AV333" i="3"/>
  <c r="AC333" i="3"/>
  <c r="H333" i="3"/>
  <c r="BP332" i="3"/>
  <c r="BO332" i="3"/>
  <c r="BN332" i="3"/>
  <c r="BM332" i="3"/>
  <c r="BL332" i="3" s="1"/>
  <c r="AZ332" i="3" s="1"/>
  <c r="AX332" i="3"/>
  <c r="AW332" i="3"/>
  <c r="AV332" i="3"/>
  <c r="AC332" i="3"/>
  <c r="H332" i="3"/>
  <c r="BP331" i="3"/>
  <c r="BO331" i="3"/>
  <c r="BN331" i="3"/>
  <c r="BM331" i="3"/>
  <c r="AX331" i="3"/>
  <c r="AW331" i="3"/>
  <c r="AV331" i="3"/>
  <c r="AC331" i="3"/>
  <c r="H331" i="3"/>
  <c r="G331" i="3" s="1"/>
  <c r="BP330" i="3"/>
  <c r="BO330" i="3"/>
  <c r="BN330" i="3"/>
  <c r="BM330" i="3"/>
  <c r="BL330" i="3"/>
  <c r="AX330" i="3"/>
  <c r="AW330" i="3"/>
  <c r="AV330" i="3"/>
  <c r="AC330" i="3"/>
  <c r="H330" i="3"/>
  <c r="BP329" i="3"/>
  <c r="BO329" i="3"/>
  <c r="BN329" i="3"/>
  <c r="BM329" i="3"/>
  <c r="AX329" i="3"/>
  <c r="AW329" i="3"/>
  <c r="AV329" i="3"/>
  <c r="AC329" i="3"/>
  <c r="H329" i="3"/>
  <c r="G329" i="3" s="1"/>
  <c r="BP328" i="3"/>
  <c r="BO328" i="3"/>
  <c r="BN328" i="3"/>
  <c r="BM328" i="3"/>
  <c r="BL328" i="3"/>
  <c r="AX328" i="3"/>
  <c r="AW328" i="3"/>
  <c r="AV328" i="3"/>
  <c r="AC328" i="3"/>
  <c r="H328" i="3"/>
  <c r="BP327" i="3"/>
  <c r="BO327" i="3"/>
  <c r="BN327" i="3"/>
  <c r="BM327" i="3"/>
  <c r="AX327" i="3"/>
  <c r="AW327" i="3"/>
  <c r="AV327" i="3"/>
  <c r="AC327" i="3"/>
  <c r="H327" i="3"/>
  <c r="G327" i="3" s="1"/>
  <c r="BP326" i="3"/>
  <c r="BO326" i="3"/>
  <c r="BN326" i="3"/>
  <c r="BM326" i="3"/>
  <c r="AX326" i="3"/>
  <c r="AW326" i="3"/>
  <c r="AV326" i="3"/>
  <c r="AC326" i="3"/>
  <c r="H326" i="3"/>
  <c r="BP325" i="3"/>
  <c r="BO325" i="3"/>
  <c r="BN325" i="3"/>
  <c r="BM325" i="3"/>
  <c r="AX325" i="3"/>
  <c r="AW325" i="3"/>
  <c r="AV325" i="3"/>
  <c r="AC325" i="3"/>
  <c r="H325" i="3"/>
  <c r="BP324" i="3"/>
  <c r="BO324" i="3"/>
  <c r="BN324" i="3"/>
  <c r="BM324" i="3"/>
  <c r="BL324" i="3"/>
  <c r="AX324" i="3"/>
  <c r="AW324" i="3"/>
  <c r="AV324" i="3"/>
  <c r="AC324" i="3"/>
  <c r="H324" i="3"/>
  <c r="BP323" i="3"/>
  <c r="BO323" i="3"/>
  <c r="BN323" i="3"/>
  <c r="BM323" i="3"/>
  <c r="AX323" i="3"/>
  <c r="AW323" i="3"/>
  <c r="AV323" i="3"/>
  <c r="AC323" i="3"/>
  <c r="H323" i="3"/>
  <c r="G323" i="3" s="1"/>
  <c r="BP322" i="3"/>
  <c r="BO322" i="3"/>
  <c r="BN322" i="3"/>
  <c r="BM322" i="3"/>
  <c r="AX322" i="3"/>
  <c r="AW322" i="3"/>
  <c r="AV322" i="3"/>
  <c r="AC322" i="3"/>
  <c r="H322" i="3"/>
  <c r="BP321" i="3"/>
  <c r="BO321" i="3"/>
  <c r="BN321" i="3"/>
  <c r="BM321" i="3"/>
  <c r="AX321" i="3"/>
  <c r="AW321" i="3"/>
  <c r="AV321" i="3"/>
  <c r="AC321" i="3"/>
  <c r="H321" i="3"/>
  <c r="BP320" i="3"/>
  <c r="BO320" i="3"/>
  <c r="BN320" i="3"/>
  <c r="BM320" i="3"/>
  <c r="AX320" i="3"/>
  <c r="AW320" i="3"/>
  <c r="AV320" i="3"/>
  <c r="AC320" i="3"/>
  <c r="H320" i="3"/>
  <c r="BP319" i="3"/>
  <c r="BO319" i="3"/>
  <c r="BN319" i="3"/>
  <c r="BM319" i="3"/>
  <c r="AX319" i="3"/>
  <c r="AW319" i="3"/>
  <c r="AV319" i="3"/>
  <c r="AC319" i="3"/>
  <c r="H319" i="3"/>
  <c r="BP318" i="3"/>
  <c r="BO318" i="3"/>
  <c r="BN318" i="3"/>
  <c r="BM318" i="3"/>
  <c r="AX318" i="3"/>
  <c r="AW318" i="3"/>
  <c r="AV318" i="3"/>
  <c r="AC318" i="3"/>
  <c r="H318" i="3"/>
  <c r="G318" i="3" s="1"/>
  <c r="BP317" i="3"/>
  <c r="BO317" i="3"/>
  <c r="BN317" i="3"/>
  <c r="BM317" i="3"/>
  <c r="BL317" i="3"/>
  <c r="AX317" i="3"/>
  <c r="AW317" i="3"/>
  <c r="AV317" i="3"/>
  <c r="AC317" i="3"/>
  <c r="H317" i="3"/>
  <c r="BP316" i="3"/>
  <c r="BO316" i="3"/>
  <c r="BN316" i="3"/>
  <c r="BM316" i="3"/>
  <c r="BL316" i="3"/>
  <c r="AZ316" i="3" s="1"/>
  <c r="AX316" i="3"/>
  <c r="AW316" i="3"/>
  <c r="AV316" i="3"/>
  <c r="AC316" i="3"/>
  <c r="H316" i="3"/>
  <c r="BP315" i="3"/>
  <c r="BO315" i="3"/>
  <c r="BN315" i="3"/>
  <c r="BM315" i="3"/>
  <c r="AX315" i="3"/>
  <c r="AW315" i="3"/>
  <c r="AV315" i="3"/>
  <c r="AC315" i="3"/>
  <c r="H315" i="3"/>
  <c r="G315" i="3"/>
  <c r="BP314" i="3"/>
  <c r="BO314" i="3"/>
  <c r="BN314" i="3"/>
  <c r="BM314" i="3"/>
  <c r="BL314" i="3" s="1"/>
  <c r="AX314" i="3"/>
  <c r="AW314" i="3"/>
  <c r="AV314" i="3"/>
  <c r="AC314" i="3"/>
  <c r="H314" i="3"/>
  <c r="BP313" i="3"/>
  <c r="BO313" i="3"/>
  <c r="BN313" i="3"/>
  <c r="BM313" i="3"/>
  <c r="AX313" i="3"/>
  <c r="AW313" i="3"/>
  <c r="AV313" i="3"/>
  <c r="AC313" i="3"/>
  <c r="H313" i="3"/>
  <c r="G313" i="3"/>
  <c r="BP312" i="3"/>
  <c r="BO312" i="3"/>
  <c r="BN312" i="3"/>
  <c r="BM312" i="3"/>
  <c r="BL312" i="3" s="1"/>
  <c r="AX312" i="3"/>
  <c r="AW312" i="3"/>
  <c r="AV312" i="3"/>
  <c r="AC312" i="3"/>
  <c r="H312" i="3"/>
  <c r="BP311" i="3"/>
  <c r="BO311" i="3"/>
  <c r="BN311" i="3"/>
  <c r="BM311" i="3"/>
  <c r="AX311" i="3"/>
  <c r="AW311" i="3"/>
  <c r="AV311" i="3"/>
  <c r="AC311" i="3"/>
  <c r="H311" i="3"/>
  <c r="G311" i="3"/>
  <c r="BP310" i="3"/>
  <c r="BO310" i="3"/>
  <c r="BN310" i="3"/>
  <c r="BM310" i="3"/>
  <c r="AX310" i="3"/>
  <c r="AW310" i="3"/>
  <c r="AV310" i="3"/>
  <c r="AC310" i="3"/>
  <c r="H310" i="3"/>
  <c r="BP309" i="3"/>
  <c r="BO309" i="3"/>
  <c r="BN309" i="3"/>
  <c r="BM309" i="3"/>
  <c r="AX309" i="3"/>
  <c r="AW309" i="3"/>
  <c r="AV309" i="3"/>
  <c r="AC309" i="3"/>
  <c r="H309" i="3"/>
  <c r="BP308" i="3"/>
  <c r="BO308" i="3"/>
  <c r="BN308" i="3"/>
  <c r="BM308" i="3"/>
  <c r="BL308" i="3" s="1"/>
  <c r="AX308" i="3"/>
  <c r="AW308" i="3"/>
  <c r="AV308" i="3"/>
  <c r="AC308" i="3"/>
  <c r="H308" i="3"/>
  <c r="BP307" i="3"/>
  <c r="BO307" i="3"/>
  <c r="BN307" i="3"/>
  <c r="BM307" i="3"/>
  <c r="AX307" i="3"/>
  <c r="AW307" i="3"/>
  <c r="AV307" i="3"/>
  <c r="AC307" i="3"/>
  <c r="H307" i="3"/>
  <c r="G307" i="3"/>
  <c r="BP306" i="3"/>
  <c r="BO306" i="3"/>
  <c r="BN306" i="3"/>
  <c r="BM306" i="3"/>
  <c r="AX306" i="3"/>
  <c r="AW306" i="3"/>
  <c r="AV306" i="3"/>
  <c r="AC306" i="3"/>
  <c r="H306" i="3"/>
  <c r="BP305" i="3"/>
  <c r="BO305" i="3"/>
  <c r="BN305" i="3"/>
  <c r="BM305" i="3"/>
  <c r="AX305" i="3"/>
  <c r="AW305" i="3"/>
  <c r="AV305" i="3"/>
  <c r="AC305" i="3"/>
  <c r="H305" i="3"/>
  <c r="BP304" i="3"/>
  <c r="BO304" i="3"/>
  <c r="BN304" i="3"/>
  <c r="BM304" i="3"/>
  <c r="AX304" i="3"/>
  <c r="AW304" i="3"/>
  <c r="AV304" i="3"/>
  <c r="AC304" i="3"/>
  <c r="H304" i="3"/>
  <c r="BP303" i="3"/>
  <c r="BO303" i="3"/>
  <c r="BN303" i="3"/>
  <c r="BM303" i="3"/>
  <c r="AX303" i="3"/>
  <c r="AW303" i="3"/>
  <c r="AV303" i="3"/>
  <c r="AC303" i="3"/>
  <c r="H303" i="3"/>
  <c r="BP492" i="3"/>
  <c r="BO492" i="3"/>
  <c r="BN492" i="3"/>
  <c r="BM492" i="3"/>
  <c r="BL492" i="3" s="1"/>
  <c r="AX492" i="3"/>
  <c r="AW492" i="3"/>
  <c r="AV492" i="3"/>
  <c r="AC492" i="3"/>
  <c r="H492" i="3"/>
  <c r="G492" i="3"/>
  <c r="BP491" i="3"/>
  <c r="BO491" i="3"/>
  <c r="BN491" i="3"/>
  <c r="BM491" i="3"/>
  <c r="BL491" i="3" s="1"/>
  <c r="AX491" i="3"/>
  <c r="AW491" i="3"/>
  <c r="AV491" i="3"/>
  <c r="AC491" i="3"/>
  <c r="H491" i="3"/>
  <c r="G491" i="3" s="1"/>
  <c r="BP490" i="3"/>
  <c r="BO490" i="3"/>
  <c r="BN490" i="3"/>
  <c r="BM490" i="3"/>
  <c r="BL490" i="3"/>
  <c r="AX490" i="3"/>
  <c r="AW490" i="3"/>
  <c r="AV490" i="3"/>
  <c r="AC490" i="3"/>
  <c r="H490" i="3"/>
  <c r="G490" i="3"/>
  <c r="BP489" i="3"/>
  <c r="BO489" i="3"/>
  <c r="BN489" i="3"/>
  <c r="BM489" i="3"/>
  <c r="BL489" i="3" s="1"/>
  <c r="AZ489" i="3" s="1"/>
  <c r="AX489" i="3"/>
  <c r="AW489" i="3"/>
  <c r="AV489" i="3"/>
  <c r="AC489" i="3"/>
  <c r="H489" i="3"/>
  <c r="G489" i="3"/>
  <c r="BP488" i="3"/>
  <c r="BO488" i="3"/>
  <c r="BN488" i="3"/>
  <c r="BM488" i="3"/>
  <c r="BL488" i="3" s="1"/>
  <c r="AX488" i="3"/>
  <c r="AW488" i="3"/>
  <c r="AV488" i="3"/>
  <c r="AC488" i="3"/>
  <c r="H488" i="3"/>
  <c r="G488" i="3"/>
  <c r="BP487" i="3"/>
  <c r="BO487" i="3"/>
  <c r="BN487" i="3"/>
  <c r="BM487" i="3"/>
  <c r="BL487" i="3" s="1"/>
  <c r="AZ487" i="3" s="1"/>
  <c r="AX487" i="3"/>
  <c r="AW487" i="3"/>
  <c r="AV487" i="3"/>
  <c r="AC487" i="3"/>
  <c r="H487" i="3"/>
  <c r="G487" i="3"/>
  <c r="BP486" i="3"/>
  <c r="BO486" i="3"/>
  <c r="BN486" i="3"/>
  <c r="BM486" i="3"/>
  <c r="BL486" i="3" s="1"/>
  <c r="AX486" i="3"/>
  <c r="AW486" i="3"/>
  <c r="AV486" i="3"/>
  <c r="AC486" i="3"/>
  <c r="H486" i="3"/>
  <c r="G486" i="3"/>
  <c r="BP485" i="3"/>
  <c r="BO485" i="3"/>
  <c r="BN485" i="3"/>
  <c r="BM485" i="3"/>
  <c r="BL485" i="3" s="1"/>
  <c r="AZ485" i="3" s="1"/>
  <c r="AX485" i="3"/>
  <c r="AW485" i="3"/>
  <c r="AV485" i="3"/>
  <c r="AC485" i="3"/>
  <c r="H485" i="3"/>
  <c r="G485" i="3"/>
  <c r="BP484" i="3"/>
  <c r="BO484" i="3"/>
  <c r="BN484" i="3"/>
  <c r="BM484" i="3"/>
  <c r="BL484" i="3" s="1"/>
  <c r="AX484" i="3"/>
  <c r="AW484" i="3"/>
  <c r="AV484" i="3"/>
  <c r="AC484" i="3"/>
  <c r="H484" i="3"/>
  <c r="G484" i="3"/>
  <c r="BP483" i="3"/>
  <c r="BO483" i="3"/>
  <c r="BN483" i="3"/>
  <c r="BM483" i="3"/>
  <c r="BL483" i="3" s="1"/>
  <c r="AZ483" i="3" s="1"/>
  <c r="AX483" i="3"/>
  <c r="AW483" i="3"/>
  <c r="AV483" i="3"/>
  <c r="AC483" i="3"/>
  <c r="H483" i="3"/>
  <c r="G483" i="3"/>
  <c r="BP482" i="3"/>
  <c r="BO482" i="3"/>
  <c r="BN482" i="3"/>
  <c r="BM482" i="3"/>
  <c r="BL482" i="3" s="1"/>
  <c r="AX482" i="3"/>
  <c r="AW482" i="3"/>
  <c r="AV482" i="3"/>
  <c r="AC482" i="3"/>
  <c r="H482" i="3"/>
  <c r="G482" i="3"/>
  <c r="BP481" i="3"/>
  <c r="BO481" i="3"/>
  <c r="BN481" i="3"/>
  <c r="BM481" i="3"/>
  <c r="BL481" i="3" s="1"/>
  <c r="AZ481" i="3" s="1"/>
  <c r="AX481" i="3"/>
  <c r="AW481" i="3"/>
  <c r="AV481" i="3"/>
  <c r="AC481" i="3"/>
  <c r="H481" i="3"/>
  <c r="G481" i="3"/>
  <c r="BP480" i="3"/>
  <c r="BO480" i="3"/>
  <c r="BN480" i="3"/>
  <c r="BM480" i="3"/>
  <c r="BL480" i="3" s="1"/>
  <c r="AX480" i="3"/>
  <c r="AW480" i="3"/>
  <c r="AV480" i="3"/>
  <c r="AC480" i="3"/>
  <c r="H480" i="3"/>
  <c r="G480" i="3"/>
  <c r="BP479" i="3"/>
  <c r="BO479" i="3"/>
  <c r="BN479" i="3"/>
  <c r="BM479" i="3"/>
  <c r="BL479" i="3" s="1"/>
  <c r="AZ479" i="3" s="1"/>
  <c r="AX479" i="3"/>
  <c r="AW479" i="3"/>
  <c r="AV479" i="3"/>
  <c r="AC479" i="3"/>
  <c r="H479" i="3"/>
  <c r="G479" i="3"/>
  <c r="BP478" i="3"/>
  <c r="BO478" i="3"/>
  <c r="BN478" i="3"/>
  <c r="BM478" i="3"/>
  <c r="BL478" i="3" s="1"/>
  <c r="AX478" i="3"/>
  <c r="AW478" i="3"/>
  <c r="AV478" i="3"/>
  <c r="AC478" i="3"/>
  <c r="H478" i="3"/>
  <c r="G478" i="3"/>
  <c r="BP477" i="3"/>
  <c r="BO477" i="3"/>
  <c r="BN477" i="3"/>
  <c r="BM477" i="3"/>
  <c r="BL477" i="3" s="1"/>
  <c r="AZ477" i="3" s="1"/>
  <c r="AX477" i="3"/>
  <c r="AW477" i="3"/>
  <c r="AV477" i="3"/>
  <c r="AC477" i="3"/>
  <c r="H477" i="3"/>
  <c r="G477" i="3"/>
  <c r="BP476" i="3"/>
  <c r="BO476" i="3"/>
  <c r="BN476" i="3"/>
  <c r="BM476" i="3"/>
  <c r="BL476" i="3" s="1"/>
  <c r="AX476" i="3"/>
  <c r="AW476" i="3"/>
  <c r="AV476" i="3"/>
  <c r="AC476" i="3"/>
  <c r="H476" i="3"/>
  <c r="G476" i="3"/>
  <c r="BP475" i="3"/>
  <c r="BO475" i="3"/>
  <c r="BN475" i="3"/>
  <c r="BM475" i="3"/>
  <c r="BL475" i="3" s="1"/>
  <c r="AZ475" i="3" s="1"/>
  <c r="AX475" i="3"/>
  <c r="AW475" i="3"/>
  <c r="AV475" i="3"/>
  <c r="AC475" i="3"/>
  <c r="H475" i="3"/>
  <c r="G475" i="3"/>
  <c r="BP474" i="3"/>
  <c r="BO474" i="3"/>
  <c r="BN474" i="3"/>
  <c r="BM474" i="3"/>
  <c r="BL474" i="3" s="1"/>
  <c r="AX474" i="3"/>
  <c r="AW474" i="3"/>
  <c r="AV474" i="3"/>
  <c r="AC474" i="3"/>
  <c r="H474" i="3"/>
  <c r="G474" i="3"/>
  <c r="BP473" i="3"/>
  <c r="BO473" i="3"/>
  <c r="BN473" i="3"/>
  <c r="BM473" i="3"/>
  <c r="BL473" i="3" s="1"/>
  <c r="AX473" i="3"/>
  <c r="AW473" i="3"/>
  <c r="AV473" i="3"/>
  <c r="AC473" i="3"/>
  <c r="H473" i="3"/>
  <c r="G473" i="3" s="1"/>
  <c r="BP472" i="3"/>
  <c r="BO472" i="3"/>
  <c r="BN472" i="3"/>
  <c r="BM472" i="3"/>
  <c r="BL472" i="3"/>
  <c r="AX472" i="3"/>
  <c r="AW472" i="3"/>
  <c r="AV472" i="3"/>
  <c r="AC472" i="3"/>
  <c r="H472" i="3"/>
  <c r="G472" i="3" s="1"/>
  <c r="BP471" i="3"/>
  <c r="BO471" i="3"/>
  <c r="BN471" i="3"/>
  <c r="BM471" i="3"/>
  <c r="BL471" i="3"/>
  <c r="AZ471" i="3" s="1"/>
  <c r="AX471" i="3"/>
  <c r="AW471" i="3"/>
  <c r="AV471" i="3"/>
  <c r="AC471" i="3"/>
  <c r="H471" i="3"/>
  <c r="G471" i="3" s="1"/>
  <c r="BP470" i="3"/>
  <c r="BO470" i="3"/>
  <c r="BN470" i="3"/>
  <c r="BM470" i="3"/>
  <c r="BL470" i="3"/>
  <c r="AX470" i="3"/>
  <c r="AW470" i="3"/>
  <c r="AV470" i="3"/>
  <c r="AC470" i="3"/>
  <c r="H470" i="3"/>
  <c r="G470" i="3" s="1"/>
  <c r="BP469" i="3"/>
  <c r="BO469" i="3"/>
  <c r="BN469" i="3"/>
  <c r="BM469" i="3"/>
  <c r="BL469" i="3"/>
  <c r="AZ469" i="3" s="1"/>
  <c r="AX469" i="3"/>
  <c r="AW469" i="3"/>
  <c r="AV469" i="3"/>
  <c r="AC469" i="3"/>
  <c r="H469" i="3"/>
  <c r="G469" i="3" s="1"/>
  <c r="BP468" i="3"/>
  <c r="BO468" i="3"/>
  <c r="BN468" i="3"/>
  <c r="BM468" i="3"/>
  <c r="BL468" i="3"/>
  <c r="AX468" i="3"/>
  <c r="AW468" i="3"/>
  <c r="AV468" i="3"/>
  <c r="AC468" i="3"/>
  <c r="H468" i="3"/>
  <c r="G468" i="3" s="1"/>
  <c r="BP467" i="3"/>
  <c r="BO467" i="3"/>
  <c r="BN467" i="3"/>
  <c r="BM467" i="3"/>
  <c r="BL467" i="3"/>
  <c r="AZ467" i="3" s="1"/>
  <c r="AX467" i="3"/>
  <c r="AW467" i="3"/>
  <c r="AV467" i="3"/>
  <c r="AC467" i="3"/>
  <c r="H467" i="3"/>
  <c r="G467" i="3" s="1"/>
  <c r="BP466" i="3"/>
  <c r="BO466" i="3"/>
  <c r="BN466" i="3"/>
  <c r="BM466" i="3"/>
  <c r="BL466" i="3"/>
  <c r="AX466" i="3"/>
  <c r="AW466" i="3"/>
  <c r="AV466" i="3"/>
  <c r="AC466" i="3"/>
  <c r="H466" i="3"/>
  <c r="G466" i="3" s="1"/>
  <c r="BP465" i="3"/>
  <c r="BO465" i="3"/>
  <c r="BN465" i="3"/>
  <c r="BM465" i="3"/>
  <c r="BL465" i="3"/>
  <c r="AX465" i="3"/>
  <c r="AW465" i="3"/>
  <c r="AV465" i="3"/>
  <c r="AC465" i="3"/>
  <c r="H465" i="3"/>
  <c r="G465" i="3"/>
  <c r="BP464" i="3"/>
  <c r="BO464" i="3"/>
  <c r="BN464" i="3"/>
  <c r="BM464" i="3"/>
  <c r="BL464" i="3" s="1"/>
  <c r="AX464" i="3"/>
  <c r="AW464" i="3"/>
  <c r="AV464" i="3"/>
  <c r="AC464" i="3"/>
  <c r="H464" i="3"/>
  <c r="G464" i="3"/>
  <c r="BP463" i="3"/>
  <c r="BO463" i="3"/>
  <c r="BN463" i="3"/>
  <c r="BM463" i="3"/>
  <c r="BL463" i="3" s="1"/>
  <c r="AZ463" i="3" s="1"/>
  <c r="AX463" i="3"/>
  <c r="AW463" i="3"/>
  <c r="AV463" i="3"/>
  <c r="AC463" i="3"/>
  <c r="H463" i="3"/>
  <c r="G463" i="3"/>
  <c r="BP462" i="3"/>
  <c r="BO462" i="3"/>
  <c r="BN462" i="3"/>
  <c r="BM462" i="3"/>
  <c r="BL462" i="3" s="1"/>
  <c r="AX462" i="3"/>
  <c r="AW462" i="3"/>
  <c r="AV462" i="3"/>
  <c r="AC462" i="3"/>
  <c r="H462" i="3"/>
  <c r="G462" i="3"/>
  <c r="BP461" i="3"/>
  <c r="BO461" i="3"/>
  <c r="BN461" i="3"/>
  <c r="BM461" i="3"/>
  <c r="BL461" i="3" s="1"/>
  <c r="AZ461" i="3" s="1"/>
  <c r="AX461" i="3"/>
  <c r="AW461" i="3"/>
  <c r="AV461" i="3"/>
  <c r="AC461" i="3"/>
  <c r="H461" i="3"/>
  <c r="G461" i="3"/>
  <c r="BP460" i="3"/>
  <c r="BO460" i="3"/>
  <c r="BN460" i="3"/>
  <c r="BM460" i="3"/>
  <c r="BL460" i="3" s="1"/>
  <c r="AX460" i="3"/>
  <c r="AW460" i="3"/>
  <c r="AV460" i="3"/>
  <c r="AC460" i="3"/>
  <c r="H460" i="3"/>
  <c r="G460" i="3"/>
  <c r="BP459" i="3"/>
  <c r="BO459" i="3"/>
  <c r="BN459" i="3"/>
  <c r="BM459" i="3"/>
  <c r="BL459" i="3" s="1"/>
  <c r="AZ459" i="3" s="1"/>
  <c r="AX459" i="3"/>
  <c r="AW459" i="3"/>
  <c r="AV459" i="3"/>
  <c r="AC459" i="3"/>
  <c r="H459" i="3"/>
  <c r="G459" i="3"/>
  <c r="BP458" i="3"/>
  <c r="BO458" i="3"/>
  <c r="BN458" i="3"/>
  <c r="BM458" i="3"/>
  <c r="BL458" i="3" s="1"/>
  <c r="AX458" i="3"/>
  <c r="AW458" i="3"/>
  <c r="AV458" i="3"/>
  <c r="AC458" i="3"/>
  <c r="H458" i="3"/>
  <c r="G458" i="3"/>
  <c r="BP457" i="3"/>
  <c r="BO457" i="3"/>
  <c r="BN457" i="3"/>
  <c r="BM457" i="3"/>
  <c r="BL457" i="3" s="1"/>
  <c r="AX457" i="3"/>
  <c r="AW457" i="3"/>
  <c r="AV457" i="3"/>
  <c r="AC457" i="3"/>
  <c r="H457" i="3"/>
  <c r="G457" i="3" s="1"/>
  <c r="BP456" i="3"/>
  <c r="BO456" i="3"/>
  <c r="BN456" i="3"/>
  <c r="BM456" i="3"/>
  <c r="BL456" i="3"/>
  <c r="AX456" i="3"/>
  <c r="AW456" i="3"/>
  <c r="AV456" i="3"/>
  <c r="AC456" i="3"/>
  <c r="H456" i="3"/>
  <c r="G456" i="3" s="1"/>
  <c r="BP455" i="3"/>
  <c r="BO455" i="3"/>
  <c r="BN455" i="3"/>
  <c r="BM455" i="3"/>
  <c r="BL455" i="3"/>
  <c r="AZ455" i="3" s="1"/>
  <c r="AX455" i="3"/>
  <c r="AW455" i="3"/>
  <c r="AV455" i="3"/>
  <c r="AC455" i="3"/>
  <c r="H455" i="3"/>
  <c r="G455" i="3" s="1"/>
  <c r="BP454" i="3"/>
  <c r="BO454" i="3"/>
  <c r="BN454" i="3"/>
  <c r="BM454" i="3"/>
  <c r="BL454" i="3"/>
  <c r="AX454" i="3"/>
  <c r="AW454" i="3"/>
  <c r="AV454" i="3"/>
  <c r="AC454" i="3"/>
  <c r="H454" i="3"/>
  <c r="G454" i="3" s="1"/>
  <c r="BP453" i="3"/>
  <c r="BO453" i="3"/>
  <c r="BN453" i="3"/>
  <c r="BM453" i="3"/>
  <c r="BL453" i="3"/>
  <c r="AZ453" i="3" s="1"/>
  <c r="AX453" i="3"/>
  <c r="AW453" i="3"/>
  <c r="AV453" i="3"/>
  <c r="AC453" i="3"/>
  <c r="H453" i="3"/>
  <c r="G453" i="3" s="1"/>
  <c r="BP452" i="3"/>
  <c r="BO452" i="3"/>
  <c r="BN452" i="3"/>
  <c r="BM452" i="3"/>
  <c r="BL452" i="3"/>
  <c r="AX452" i="3"/>
  <c r="AW452" i="3"/>
  <c r="AV452" i="3"/>
  <c r="AC452" i="3"/>
  <c r="H452" i="3"/>
  <c r="G452" i="3" s="1"/>
  <c r="BP451" i="3"/>
  <c r="BO451" i="3"/>
  <c r="BN451" i="3"/>
  <c r="BM451" i="3"/>
  <c r="BL451" i="3"/>
  <c r="AZ451" i="3" s="1"/>
  <c r="AX451" i="3"/>
  <c r="AW451" i="3"/>
  <c r="AV451" i="3"/>
  <c r="AC451" i="3"/>
  <c r="H451" i="3"/>
  <c r="G451" i="3" s="1"/>
  <c r="BP450" i="3"/>
  <c r="BO450" i="3"/>
  <c r="BN450" i="3"/>
  <c r="BM450" i="3"/>
  <c r="BL450" i="3"/>
  <c r="AX450" i="3"/>
  <c r="AW450" i="3"/>
  <c r="AV450" i="3"/>
  <c r="AC450" i="3"/>
  <c r="H450" i="3"/>
  <c r="G450" i="3" s="1"/>
  <c r="BP449" i="3"/>
  <c r="BO449" i="3"/>
  <c r="BN449" i="3"/>
  <c r="BM449" i="3"/>
  <c r="BL449" i="3"/>
  <c r="AZ449" i="3" s="1"/>
  <c r="AX449" i="3"/>
  <c r="AW449" i="3"/>
  <c r="AV449" i="3"/>
  <c r="AC449" i="3"/>
  <c r="H449" i="3"/>
  <c r="G449" i="3" s="1"/>
  <c r="BP448" i="3"/>
  <c r="BO448" i="3"/>
  <c r="BN448" i="3"/>
  <c r="BM448" i="3"/>
  <c r="BL448" i="3"/>
  <c r="AX448" i="3"/>
  <c r="AW448" i="3"/>
  <c r="AV448" i="3"/>
  <c r="AC448" i="3"/>
  <c r="H448" i="3"/>
  <c r="G448" i="3" s="1"/>
  <c r="BP447" i="3"/>
  <c r="BO447" i="3"/>
  <c r="BN447" i="3"/>
  <c r="BM447" i="3"/>
  <c r="BL447" i="3"/>
  <c r="AZ447" i="3" s="1"/>
  <c r="AX447" i="3"/>
  <c r="AW447" i="3"/>
  <c r="AV447" i="3"/>
  <c r="AC447" i="3"/>
  <c r="H447" i="3"/>
  <c r="G447" i="3" s="1"/>
  <c r="BP446" i="3"/>
  <c r="BO446" i="3"/>
  <c r="BN446" i="3"/>
  <c r="BM446" i="3"/>
  <c r="BL446" i="3"/>
  <c r="AX446" i="3"/>
  <c r="AW446" i="3"/>
  <c r="AV446" i="3"/>
  <c r="AC446" i="3"/>
  <c r="H446" i="3"/>
  <c r="G446" i="3" s="1"/>
  <c r="BP445" i="3"/>
  <c r="BO445" i="3"/>
  <c r="BN445" i="3"/>
  <c r="BM445" i="3"/>
  <c r="BL445" i="3"/>
  <c r="AZ445" i="3" s="1"/>
  <c r="AX445" i="3"/>
  <c r="AW445" i="3"/>
  <c r="AV445" i="3"/>
  <c r="AC445" i="3"/>
  <c r="H445" i="3"/>
  <c r="G445" i="3" s="1"/>
  <c r="BP444" i="3"/>
  <c r="BO444" i="3"/>
  <c r="BN444" i="3"/>
  <c r="BM444" i="3"/>
  <c r="BL444" i="3"/>
  <c r="AX444" i="3"/>
  <c r="AW444" i="3"/>
  <c r="AV444" i="3"/>
  <c r="AC444" i="3"/>
  <c r="H444" i="3"/>
  <c r="G444" i="3" s="1"/>
  <c r="BP443" i="3"/>
  <c r="BO443" i="3"/>
  <c r="BN443" i="3"/>
  <c r="BM443" i="3"/>
  <c r="BL443" i="3"/>
  <c r="AZ443" i="3" s="1"/>
  <c r="AX443" i="3"/>
  <c r="AW443" i="3"/>
  <c r="AV443" i="3"/>
  <c r="AC443" i="3"/>
  <c r="H443" i="3"/>
  <c r="G443" i="3" s="1"/>
  <c r="BP442" i="3"/>
  <c r="BO442" i="3"/>
  <c r="BN442" i="3"/>
  <c r="BM442" i="3"/>
  <c r="BL442" i="3"/>
  <c r="AX442" i="3"/>
  <c r="AW442" i="3"/>
  <c r="AV442" i="3"/>
  <c r="AC442" i="3"/>
  <c r="H442" i="3"/>
  <c r="G442" i="3" s="1"/>
  <c r="BP441" i="3"/>
  <c r="BO441" i="3"/>
  <c r="BN441" i="3"/>
  <c r="BM441" i="3"/>
  <c r="BL441" i="3"/>
  <c r="AX441" i="3"/>
  <c r="AW441" i="3"/>
  <c r="AV441" i="3"/>
  <c r="AC441" i="3"/>
  <c r="H441" i="3"/>
  <c r="G441" i="3"/>
  <c r="BP440" i="3"/>
  <c r="BO440" i="3"/>
  <c r="BN440" i="3"/>
  <c r="BM440" i="3"/>
  <c r="BL440" i="3" s="1"/>
  <c r="AX440" i="3"/>
  <c r="AW440" i="3"/>
  <c r="AV440" i="3"/>
  <c r="AC440" i="3"/>
  <c r="H440" i="3"/>
  <c r="G440" i="3"/>
  <c r="BP439" i="3"/>
  <c r="BO439" i="3"/>
  <c r="BN439" i="3"/>
  <c r="BM439" i="3"/>
  <c r="BL439" i="3" s="1"/>
  <c r="AZ439" i="3" s="1"/>
  <c r="AX439" i="3"/>
  <c r="AW439" i="3"/>
  <c r="AV439" i="3"/>
  <c r="AC439" i="3"/>
  <c r="H439" i="3"/>
  <c r="G439" i="3"/>
  <c r="BP438" i="3"/>
  <c r="BO438" i="3"/>
  <c r="BN438" i="3"/>
  <c r="BM438" i="3"/>
  <c r="BL438" i="3" s="1"/>
  <c r="AX438" i="3"/>
  <c r="AW438" i="3"/>
  <c r="AV438" i="3"/>
  <c r="AC438" i="3"/>
  <c r="H438" i="3"/>
  <c r="G438" i="3"/>
  <c r="BP437" i="3"/>
  <c r="BO437" i="3"/>
  <c r="BN437" i="3"/>
  <c r="BM437" i="3"/>
  <c r="BL437" i="3" s="1"/>
  <c r="AX437" i="3"/>
  <c r="AW437" i="3"/>
  <c r="AV437" i="3"/>
  <c r="AC437" i="3"/>
  <c r="H437" i="3"/>
  <c r="G437" i="3" s="1"/>
  <c r="BP436" i="3"/>
  <c r="BO436" i="3"/>
  <c r="BN436" i="3"/>
  <c r="BM436" i="3"/>
  <c r="BL436" i="3"/>
  <c r="AX436" i="3"/>
  <c r="AW436" i="3"/>
  <c r="AV436" i="3"/>
  <c r="AC436" i="3"/>
  <c r="H436" i="3"/>
  <c r="G436" i="3" s="1"/>
  <c r="BP435" i="3"/>
  <c r="BO435" i="3"/>
  <c r="BN435" i="3"/>
  <c r="BM435" i="3"/>
  <c r="BL435" i="3"/>
  <c r="AZ435" i="3" s="1"/>
  <c r="AX435" i="3"/>
  <c r="AW435" i="3"/>
  <c r="AV435" i="3"/>
  <c r="AC435" i="3"/>
  <c r="H435" i="3"/>
  <c r="G435" i="3" s="1"/>
  <c r="BP434" i="3"/>
  <c r="BO434" i="3"/>
  <c r="BN434" i="3"/>
  <c r="BM434" i="3"/>
  <c r="BL434" i="3"/>
  <c r="AX434" i="3"/>
  <c r="AW434" i="3"/>
  <c r="AV434" i="3"/>
  <c r="AC434" i="3"/>
  <c r="H434" i="3"/>
  <c r="G434" i="3" s="1"/>
  <c r="BP433" i="3"/>
  <c r="BO433" i="3"/>
  <c r="BN433" i="3"/>
  <c r="BM433" i="3"/>
  <c r="BL433" i="3"/>
  <c r="AX433" i="3"/>
  <c r="AW433" i="3"/>
  <c r="AV433" i="3"/>
  <c r="AC433" i="3"/>
  <c r="H433" i="3"/>
  <c r="G433" i="3"/>
  <c r="BP432" i="3"/>
  <c r="BO432" i="3"/>
  <c r="BN432" i="3"/>
  <c r="BM432" i="3"/>
  <c r="BL432" i="3" s="1"/>
  <c r="AX432" i="3"/>
  <c r="AW432" i="3"/>
  <c r="AV432" i="3"/>
  <c r="AC432" i="3"/>
  <c r="H432" i="3"/>
  <c r="G432" i="3"/>
  <c r="BP431" i="3"/>
  <c r="BO431" i="3"/>
  <c r="BN431" i="3"/>
  <c r="BM431" i="3"/>
  <c r="BL431" i="3" s="1"/>
  <c r="AZ431" i="3"/>
  <c r="AX431" i="3"/>
  <c r="AW431" i="3"/>
  <c r="AV431" i="3"/>
  <c r="AC431" i="3"/>
  <c r="H431" i="3"/>
  <c r="G431" i="3"/>
  <c r="BP430" i="3"/>
  <c r="BO430" i="3"/>
  <c r="BN430" i="3"/>
  <c r="BM430" i="3"/>
  <c r="BL430" i="3" s="1"/>
  <c r="AX430" i="3"/>
  <c r="AW430" i="3"/>
  <c r="AV430" i="3"/>
  <c r="AC430" i="3"/>
  <c r="H430" i="3"/>
  <c r="G430" i="3"/>
  <c r="BP429" i="3"/>
  <c r="BO429" i="3"/>
  <c r="BN429" i="3"/>
  <c r="BM429" i="3"/>
  <c r="BL429" i="3" s="1"/>
  <c r="AZ429" i="3"/>
  <c r="AX429" i="3"/>
  <c r="AW429" i="3"/>
  <c r="AV429" i="3"/>
  <c r="AC429" i="3"/>
  <c r="H429" i="3"/>
  <c r="G429" i="3"/>
  <c r="BP428" i="3"/>
  <c r="BO428" i="3"/>
  <c r="BN428" i="3"/>
  <c r="BM428" i="3"/>
  <c r="BL428" i="3" s="1"/>
  <c r="AX428" i="3"/>
  <c r="AW428" i="3"/>
  <c r="AV428" i="3"/>
  <c r="AC428" i="3"/>
  <c r="H428" i="3"/>
  <c r="G428" i="3" s="1"/>
  <c r="BP427" i="3"/>
  <c r="BO427" i="3"/>
  <c r="BN427" i="3"/>
  <c r="BM427" i="3"/>
  <c r="BL427" i="3"/>
  <c r="AZ427" i="3" s="1"/>
  <c r="AX427" i="3"/>
  <c r="AW427" i="3"/>
  <c r="AV427" i="3"/>
  <c r="AC427" i="3"/>
  <c r="H427" i="3"/>
  <c r="G427" i="3" s="1"/>
  <c r="BP426" i="3"/>
  <c r="BO426" i="3"/>
  <c r="BN426" i="3"/>
  <c r="BM426" i="3"/>
  <c r="BL426" i="3"/>
  <c r="AX426" i="3"/>
  <c r="AW426" i="3"/>
  <c r="AV426" i="3"/>
  <c r="AC426" i="3"/>
  <c r="H426" i="3"/>
  <c r="G426" i="3" s="1"/>
  <c r="BP425" i="3"/>
  <c r="BO425" i="3"/>
  <c r="BN425" i="3"/>
  <c r="BM425" i="3"/>
  <c r="BL425" i="3"/>
  <c r="AZ425" i="3" s="1"/>
  <c r="AX425" i="3"/>
  <c r="AW425" i="3"/>
  <c r="AV425" i="3"/>
  <c r="AC425" i="3"/>
  <c r="H425" i="3"/>
  <c r="G425" i="3" s="1"/>
  <c r="BP424" i="3"/>
  <c r="BO424" i="3"/>
  <c r="BN424" i="3"/>
  <c r="BM424" i="3"/>
  <c r="BL424" i="3"/>
  <c r="AX424" i="3"/>
  <c r="AW424" i="3"/>
  <c r="AV424" i="3"/>
  <c r="AC424" i="3"/>
  <c r="H424" i="3"/>
  <c r="G424" i="3" s="1"/>
  <c r="BP423" i="3"/>
  <c r="BO423" i="3"/>
  <c r="BN423" i="3"/>
  <c r="BM423" i="3"/>
  <c r="BL423" i="3"/>
  <c r="AZ423" i="3" s="1"/>
  <c r="AX423" i="3"/>
  <c r="AW423" i="3"/>
  <c r="AV423" i="3"/>
  <c r="AC423" i="3"/>
  <c r="H423" i="3"/>
  <c r="G423" i="3" s="1"/>
  <c r="BP422" i="3"/>
  <c r="BO422" i="3"/>
  <c r="BN422" i="3"/>
  <c r="BM422" i="3"/>
  <c r="BL422" i="3"/>
  <c r="AX422" i="3"/>
  <c r="AW422" i="3"/>
  <c r="AV422" i="3"/>
  <c r="AC422" i="3"/>
  <c r="H422" i="3"/>
  <c r="G422" i="3" s="1"/>
  <c r="BP421" i="3"/>
  <c r="BO421" i="3"/>
  <c r="BN421" i="3"/>
  <c r="BM421" i="3"/>
  <c r="BL421" i="3"/>
  <c r="AZ421" i="3" s="1"/>
  <c r="AX421" i="3"/>
  <c r="AW421" i="3"/>
  <c r="AV421" i="3"/>
  <c r="AC421" i="3"/>
  <c r="H421" i="3"/>
  <c r="G421" i="3" s="1"/>
  <c r="BP420" i="3"/>
  <c r="BO420" i="3"/>
  <c r="BN420" i="3"/>
  <c r="BM420" i="3"/>
  <c r="BL420" i="3"/>
  <c r="AX420" i="3"/>
  <c r="AW420" i="3"/>
  <c r="AV420" i="3"/>
  <c r="AC420" i="3"/>
  <c r="H420" i="3"/>
  <c r="G420" i="3" s="1"/>
  <c r="BP419" i="3"/>
  <c r="BO419" i="3"/>
  <c r="BN419" i="3"/>
  <c r="BM419" i="3"/>
  <c r="BL419" i="3"/>
  <c r="AZ419" i="3" s="1"/>
  <c r="AX419" i="3"/>
  <c r="AW419" i="3"/>
  <c r="AV419" i="3"/>
  <c r="AC419" i="3"/>
  <c r="H419" i="3"/>
  <c r="G419" i="3" s="1"/>
  <c r="BP418" i="3"/>
  <c r="BO418" i="3"/>
  <c r="BN418" i="3"/>
  <c r="BM418" i="3"/>
  <c r="BL418" i="3"/>
  <c r="AX418" i="3"/>
  <c r="AW418" i="3"/>
  <c r="AV418" i="3"/>
  <c r="AC418" i="3"/>
  <c r="H418" i="3"/>
  <c r="G418" i="3" s="1"/>
  <c r="BP417" i="3"/>
  <c r="BO417" i="3"/>
  <c r="BN417" i="3"/>
  <c r="BM417" i="3"/>
  <c r="BL417" i="3"/>
  <c r="AX417" i="3"/>
  <c r="AW417" i="3"/>
  <c r="AV417" i="3"/>
  <c r="AC417" i="3"/>
  <c r="H417" i="3"/>
  <c r="G417" i="3"/>
  <c r="BP416" i="3"/>
  <c r="BO416" i="3"/>
  <c r="BN416" i="3"/>
  <c r="BM416" i="3"/>
  <c r="BL416" i="3" s="1"/>
  <c r="AX416" i="3"/>
  <c r="AW416" i="3"/>
  <c r="AV416" i="3"/>
  <c r="AC416" i="3"/>
  <c r="H416" i="3"/>
  <c r="G416" i="3"/>
  <c r="BP415" i="3"/>
  <c r="BO415" i="3"/>
  <c r="BN415" i="3"/>
  <c r="BM415" i="3"/>
  <c r="BL415" i="3" s="1"/>
  <c r="AZ415" i="3" s="1"/>
  <c r="AX415" i="3"/>
  <c r="AW415" i="3"/>
  <c r="AV415" i="3"/>
  <c r="AC415" i="3"/>
  <c r="H415" i="3"/>
  <c r="G415" i="3"/>
  <c r="BP414" i="3"/>
  <c r="BO414" i="3"/>
  <c r="BN414" i="3"/>
  <c r="BM414" i="3"/>
  <c r="BL414" i="3" s="1"/>
  <c r="AX414" i="3"/>
  <c r="AW414" i="3"/>
  <c r="AV414" i="3"/>
  <c r="AC414" i="3"/>
  <c r="H414" i="3"/>
  <c r="G414" i="3"/>
  <c r="BP413" i="3"/>
  <c r="BO413" i="3"/>
  <c r="BN413" i="3"/>
  <c r="BM413" i="3"/>
  <c r="BL413" i="3" s="1"/>
  <c r="AZ413" i="3" s="1"/>
  <c r="AX413" i="3"/>
  <c r="AW413" i="3"/>
  <c r="AV413" i="3"/>
  <c r="AC413" i="3"/>
  <c r="H413" i="3"/>
  <c r="G413" i="3"/>
  <c r="BP412" i="3"/>
  <c r="BO412" i="3"/>
  <c r="BN412" i="3"/>
  <c r="BM412" i="3"/>
  <c r="BL412" i="3" s="1"/>
  <c r="AX412" i="3"/>
  <c r="AW412" i="3"/>
  <c r="AV412" i="3"/>
  <c r="AC412" i="3"/>
  <c r="H412" i="3"/>
  <c r="G412" i="3" s="1"/>
  <c r="BP411" i="3"/>
  <c r="BO411" i="3"/>
  <c r="BN411" i="3"/>
  <c r="BM411" i="3"/>
  <c r="BL411" i="3"/>
  <c r="AZ411" i="3" s="1"/>
  <c r="AX411" i="3"/>
  <c r="AW411" i="3"/>
  <c r="AV411" i="3"/>
  <c r="AC411" i="3"/>
  <c r="H411" i="3"/>
  <c r="G411" i="3" s="1"/>
  <c r="BP410" i="3"/>
  <c r="BO410" i="3"/>
  <c r="BN410" i="3"/>
  <c r="BM410" i="3"/>
  <c r="BL410" i="3"/>
  <c r="AZ410" i="3" s="1"/>
  <c r="AX410" i="3"/>
  <c r="AW410" i="3"/>
  <c r="AV410" i="3"/>
  <c r="AC410" i="3"/>
  <c r="H410" i="3"/>
  <c r="G410" i="3" s="1"/>
  <c r="BP409" i="3"/>
  <c r="BO409" i="3"/>
  <c r="BN409" i="3"/>
  <c r="BM409" i="3"/>
  <c r="BL409" i="3"/>
  <c r="AZ409" i="3" s="1"/>
  <c r="AX409" i="3"/>
  <c r="AW409" i="3"/>
  <c r="AV409" i="3"/>
  <c r="AC409" i="3"/>
  <c r="H409" i="3"/>
  <c r="G409" i="3" s="1"/>
  <c r="BP408" i="3"/>
  <c r="BO408" i="3"/>
  <c r="BN408" i="3"/>
  <c r="BM408" i="3"/>
  <c r="BL408" i="3"/>
  <c r="AX408" i="3"/>
  <c r="AW408" i="3"/>
  <c r="AV408" i="3"/>
  <c r="AC408" i="3"/>
  <c r="H408" i="3"/>
  <c r="G408" i="3"/>
  <c r="BP407" i="3"/>
  <c r="BO407" i="3"/>
  <c r="BN407" i="3"/>
  <c r="BM407" i="3"/>
  <c r="BL407" i="3" s="1"/>
  <c r="AZ407" i="3"/>
  <c r="AX407" i="3"/>
  <c r="AW407" i="3"/>
  <c r="AV407" i="3"/>
  <c r="AC407" i="3"/>
  <c r="H407" i="3"/>
  <c r="G407" i="3"/>
  <c r="BP406" i="3"/>
  <c r="BO406" i="3"/>
  <c r="BN406" i="3"/>
  <c r="BM406" i="3"/>
  <c r="BL406" i="3" s="1"/>
  <c r="AZ406" i="3" s="1"/>
  <c r="AX406" i="3"/>
  <c r="AW406" i="3"/>
  <c r="AV406" i="3"/>
  <c r="AC406" i="3"/>
  <c r="H406" i="3"/>
  <c r="G406" i="3"/>
  <c r="BP405" i="3"/>
  <c r="BO405" i="3"/>
  <c r="BN405" i="3"/>
  <c r="BM405" i="3"/>
  <c r="BL405" i="3" s="1"/>
  <c r="AZ405" i="3"/>
  <c r="AX405" i="3"/>
  <c r="AW405" i="3"/>
  <c r="AV405" i="3"/>
  <c r="AC405" i="3"/>
  <c r="H405" i="3"/>
  <c r="G405" i="3"/>
  <c r="BP404" i="3"/>
  <c r="BO404" i="3"/>
  <c r="BN404" i="3"/>
  <c r="BM404" i="3"/>
  <c r="BL404" i="3" s="1"/>
  <c r="AZ404" i="3" s="1"/>
  <c r="AX404" i="3"/>
  <c r="AW404" i="3"/>
  <c r="AV404" i="3"/>
  <c r="AC404" i="3"/>
  <c r="H404" i="3"/>
  <c r="G404" i="3"/>
  <c r="BP403" i="3"/>
  <c r="BO403" i="3"/>
  <c r="BN403" i="3"/>
  <c r="BM403" i="3"/>
  <c r="BL403" i="3" s="1"/>
  <c r="AZ403" i="3"/>
  <c r="AX403" i="3"/>
  <c r="AW403" i="3"/>
  <c r="AV403" i="3"/>
  <c r="AC403" i="3"/>
  <c r="H403" i="3"/>
  <c r="G403" i="3"/>
  <c r="BP402" i="3"/>
  <c r="BO402" i="3"/>
  <c r="BN402" i="3"/>
  <c r="BM402" i="3"/>
  <c r="BL402" i="3" s="1"/>
  <c r="AZ402" i="3" s="1"/>
  <c r="AX402" i="3"/>
  <c r="AW402" i="3"/>
  <c r="AV402" i="3"/>
  <c r="AC402" i="3"/>
  <c r="H402" i="3"/>
  <c r="G402" i="3"/>
  <c r="BP401" i="3"/>
  <c r="BO401" i="3"/>
  <c r="BN401" i="3"/>
  <c r="BM401" i="3"/>
  <c r="BL401" i="3" s="1"/>
  <c r="AX401" i="3"/>
  <c r="AW401" i="3"/>
  <c r="AV401" i="3"/>
  <c r="AC401" i="3"/>
  <c r="H401" i="3"/>
  <c r="G401" i="3" s="1"/>
  <c r="BP400" i="3"/>
  <c r="BO400" i="3"/>
  <c r="BN400" i="3"/>
  <c r="BM400" i="3"/>
  <c r="BL400" i="3"/>
  <c r="AZ400" i="3" s="1"/>
  <c r="AX400" i="3"/>
  <c r="AW400" i="3"/>
  <c r="AV400" i="3"/>
  <c r="AC400" i="3"/>
  <c r="H400" i="3"/>
  <c r="G400" i="3" s="1"/>
  <c r="BP399" i="3"/>
  <c r="BO399" i="3"/>
  <c r="BN399" i="3"/>
  <c r="BM399" i="3"/>
  <c r="BL399" i="3"/>
  <c r="AZ399" i="3" s="1"/>
  <c r="AX399" i="3"/>
  <c r="AW399" i="3"/>
  <c r="AV399" i="3"/>
  <c r="AC399" i="3"/>
  <c r="H399" i="3"/>
  <c r="G399" i="3" s="1"/>
  <c r="BP398" i="3"/>
  <c r="BO398" i="3"/>
  <c r="BN398" i="3"/>
  <c r="BM398" i="3"/>
  <c r="BL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5" i="62"/>
  <c r="B72" i="72"/>
  <c r="A4" i="62"/>
  <c r="B70" i="72"/>
  <c r="F33" i="9"/>
  <c r="B37" i="48"/>
  <c r="B2" i="72" s="1"/>
  <c r="B13" i="53"/>
  <c r="B29" i="72" s="1"/>
  <c r="R35" i="4"/>
  <c r="Q35" i="4"/>
  <c r="P35" i="4"/>
  <c r="O35" i="4"/>
  <c r="N35" i="4"/>
  <c r="M35" i="4"/>
  <c r="L35" i="4"/>
  <c r="K34" i="4"/>
  <c r="T34" i="4"/>
  <c r="G13" i="1"/>
  <c r="G11" i="1"/>
  <c r="I15" i="4"/>
  <c r="H15" i="4"/>
  <c r="G15" i="4"/>
  <c r="D15" i="4"/>
  <c r="F7" i="1"/>
  <c r="G7" i="1"/>
  <c r="F19" i="4"/>
  <c r="F2" i="52"/>
  <c r="B50" i="72" s="1"/>
  <c r="D2" i="52"/>
  <c r="B46" i="72" s="1"/>
  <c r="B8" i="53"/>
  <c r="B23" i="72" s="1"/>
  <c r="L4" i="9"/>
  <c r="B17" i="72"/>
  <c r="B15" i="72"/>
  <c r="A3" i="51"/>
  <c r="C8" i="11"/>
  <c r="B23" i="49"/>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M10" i="1"/>
  <c r="O10" i="1"/>
  <c r="B23" i="1"/>
  <c r="B24" i="1"/>
  <c r="D78" i="9"/>
  <c r="BM14" i="3"/>
  <c r="BM15" i="3"/>
  <c r="BM16" i="3"/>
  <c r="BL16" i="3" s="1"/>
  <c r="BM17" i="3"/>
  <c r="BO13" i="3"/>
  <c r="BO14" i="3"/>
  <c r="BO15" i="3"/>
  <c r="BO16" i="3"/>
  <c r="BO17" i="3"/>
  <c r="BN13" i="3"/>
  <c r="BN14" i="3"/>
  <c r="BN15" i="3"/>
  <c r="BN16" i="3"/>
  <c r="BN17" i="3"/>
  <c r="BP13" i="3"/>
  <c r="BP14" i="3"/>
  <c r="BP15" i="3"/>
  <c r="BP16" i="3"/>
  <c r="BP17" i="3"/>
  <c r="K8" i="1"/>
  <c r="M8" i="1" s="1"/>
  <c r="F23" i="15"/>
  <c r="D24" i="15"/>
  <c r="O8" i="1"/>
  <c r="P8" i="1"/>
  <c r="M13" i="1"/>
  <c r="O13" i="1"/>
  <c r="P13" i="1"/>
  <c r="BC10" i="3"/>
  <c r="BD10" i="3"/>
  <c r="BB10" i="3"/>
  <c r="AC13" i="3"/>
  <c r="AC14"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D30" i="9" s="1"/>
  <c r="C30" i="9" s="1"/>
  <c r="B30" i="9"/>
  <c r="C25" i="9"/>
  <c r="D77" i="9"/>
  <c r="E90" i="9"/>
  <c r="H77" i="9"/>
  <c r="D11" i="53"/>
  <c r="B27" i="72" s="1"/>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M493" i="3"/>
  <c r="BN493" i="3"/>
  <c r="BO493" i="3"/>
  <c r="BP493" i="3"/>
  <c r="H494" i="3"/>
  <c r="AC494" i="3"/>
  <c r="BM494" i="3"/>
  <c r="BN494" i="3"/>
  <c r="BO494" i="3"/>
  <c r="BP494" i="3"/>
  <c r="H495" i="3"/>
  <c r="AC495" i="3"/>
  <c r="BM495" i="3"/>
  <c r="BN495" i="3"/>
  <c r="BO495" i="3"/>
  <c r="BP495" i="3"/>
  <c r="H496" i="3"/>
  <c r="AC496" i="3"/>
  <c r="BM496" i="3"/>
  <c r="BN496" i="3"/>
  <c r="BO496" i="3"/>
  <c r="BP496" i="3"/>
  <c r="H497" i="3"/>
  <c r="AC497" i="3"/>
  <c r="BM497" i="3"/>
  <c r="BN497" i="3"/>
  <c r="BO497" i="3"/>
  <c r="BP497" i="3"/>
  <c r="H498" i="3"/>
  <c r="AC498" i="3"/>
  <c r="BM498" i="3"/>
  <c r="BN498" i="3"/>
  <c r="BO498" i="3"/>
  <c r="BP498" i="3"/>
  <c r="H499" i="3"/>
  <c r="AC499" i="3"/>
  <c r="BM499" i="3"/>
  <c r="BN499" i="3"/>
  <c r="BO499" i="3"/>
  <c r="BP499" i="3"/>
  <c r="H500" i="3"/>
  <c r="AC500" i="3"/>
  <c r="BM500" i="3"/>
  <c r="BN500" i="3"/>
  <c r="BO500" i="3"/>
  <c r="BP500" i="3"/>
  <c r="H501" i="3"/>
  <c r="AC501" i="3"/>
  <c r="BM501" i="3"/>
  <c r="BN501" i="3"/>
  <c r="BO501" i="3"/>
  <c r="BP501" i="3"/>
  <c r="H502" i="3"/>
  <c r="AC502" i="3"/>
  <c r="BM502" i="3"/>
  <c r="BN502" i="3"/>
  <c r="BO502" i="3"/>
  <c r="BP502" i="3"/>
  <c r="H503" i="3"/>
  <c r="AC503" i="3"/>
  <c r="BM503" i="3"/>
  <c r="BN503" i="3"/>
  <c r="BO503" i="3"/>
  <c r="BP503" i="3"/>
  <c r="H504" i="3"/>
  <c r="AC504" i="3"/>
  <c r="BM504" i="3"/>
  <c r="BN504" i="3"/>
  <c r="BO504" i="3"/>
  <c r="BP504" i="3"/>
  <c r="H505" i="3"/>
  <c r="AC505" i="3"/>
  <c r="BM505" i="3"/>
  <c r="BN505" i="3"/>
  <c r="BO505" i="3"/>
  <c r="BP505" i="3"/>
  <c r="H506" i="3"/>
  <c r="AC506" i="3"/>
  <c r="BM506" i="3"/>
  <c r="BN506" i="3"/>
  <c r="BO506" i="3"/>
  <c r="BP506" i="3"/>
  <c r="H507" i="3"/>
  <c r="AC507" i="3"/>
  <c r="BM507" i="3"/>
  <c r="BN507" i="3"/>
  <c r="BO507" i="3"/>
  <c r="BP507" i="3"/>
  <c r="H508" i="3"/>
  <c r="AC508" i="3"/>
  <c r="BM508" i="3"/>
  <c r="BN508" i="3"/>
  <c r="BO508" i="3"/>
  <c r="BP508" i="3"/>
  <c r="H509" i="3"/>
  <c r="BM509" i="3"/>
  <c r="BN509" i="3"/>
  <c r="BO509" i="3"/>
  <c r="BP509" i="3"/>
  <c r="H510" i="3"/>
  <c r="AC510" i="3"/>
  <c r="BM510" i="3"/>
  <c r="BN510" i="3"/>
  <c r="BO510" i="3"/>
  <c r="BP510" i="3"/>
  <c r="H511" i="3"/>
  <c r="AC511" i="3"/>
  <c r="BM511" i="3"/>
  <c r="BN511" i="3"/>
  <c r="BO511" i="3"/>
  <c r="BP511" i="3"/>
  <c r="H512" i="3"/>
  <c r="AC512" i="3"/>
  <c r="BM512" i="3"/>
  <c r="BN512" i="3"/>
  <c r="BO512" i="3"/>
  <c r="BP512" i="3"/>
  <c r="H513" i="3"/>
  <c r="AC513" i="3"/>
  <c r="BM513" i="3"/>
  <c r="BN513" i="3"/>
  <c r="BO513" i="3"/>
  <c r="BP513" i="3"/>
  <c r="H514" i="3"/>
  <c r="AC514" i="3"/>
  <c r="BM514" i="3"/>
  <c r="BN514" i="3"/>
  <c r="BO514" i="3"/>
  <c r="BP514" i="3"/>
  <c r="H515" i="3"/>
  <c r="AC515" i="3"/>
  <c r="BM515" i="3"/>
  <c r="BN515" i="3"/>
  <c r="BO515" i="3"/>
  <c r="BP515" i="3"/>
  <c r="H516" i="3"/>
  <c r="AC516" i="3"/>
  <c r="BM516" i="3"/>
  <c r="BN516" i="3"/>
  <c r="BO516" i="3"/>
  <c r="BP516" i="3"/>
  <c r="H517" i="3"/>
  <c r="AC517" i="3"/>
  <c r="BM517" i="3"/>
  <c r="BN517" i="3"/>
  <c r="BO517" i="3"/>
  <c r="BP517" i="3"/>
  <c r="H518" i="3"/>
  <c r="AC518" i="3"/>
  <c r="BM518" i="3"/>
  <c r="BN518" i="3"/>
  <c r="BO518" i="3"/>
  <c r="BP518" i="3"/>
  <c r="H519" i="3"/>
  <c r="AC519" i="3"/>
  <c r="BM519" i="3"/>
  <c r="BN519" i="3"/>
  <c r="BO519" i="3"/>
  <c r="BP519" i="3"/>
  <c r="H520" i="3"/>
  <c r="AC520" i="3"/>
  <c r="BM520" i="3"/>
  <c r="BN520" i="3"/>
  <c r="BO520" i="3"/>
  <c r="BP520" i="3"/>
  <c r="H521" i="3"/>
  <c r="BM521" i="3"/>
  <c r="BN521" i="3"/>
  <c r="BO521" i="3"/>
  <c r="BP521" i="3"/>
  <c r="H522" i="3"/>
  <c r="AC522" i="3"/>
  <c r="BM522" i="3"/>
  <c r="BN522" i="3"/>
  <c r="BO522" i="3"/>
  <c r="BP522" i="3"/>
  <c r="H523" i="3"/>
  <c r="AC523" i="3"/>
  <c r="BM523" i="3"/>
  <c r="BN523" i="3"/>
  <c r="BO523" i="3"/>
  <c r="BP523" i="3"/>
  <c r="H524" i="3"/>
  <c r="AC524" i="3"/>
  <c r="BM524" i="3"/>
  <c r="BN524" i="3"/>
  <c r="BO524" i="3"/>
  <c r="BP524" i="3"/>
  <c r="H525" i="3"/>
  <c r="AC525" i="3"/>
  <c r="BM525" i="3"/>
  <c r="BN525" i="3"/>
  <c r="BO525" i="3"/>
  <c r="BP525" i="3"/>
  <c r="H526" i="3"/>
  <c r="AC526" i="3"/>
  <c r="G526" i="3" s="1"/>
  <c r="BM526" i="3"/>
  <c r="BN526" i="3"/>
  <c r="BO526" i="3"/>
  <c r="BP526" i="3"/>
  <c r="H527" i="3"/>
  <c r="AC527" i="3"/>
  <c r="BM527" i="3"/>
  <c r="BN527" i="3"/>
  <c r="BO527" i="3"/>
  <c r="BP527" i="3"/>
  <c r="H528" i="3"/>
  <c r="AC528" i="3"/>
  <c r="BM528" i="3"/>
  <c r="BN528" i="3"/>
  <c r="BO528" i="3"/>
  <c r="BP528" i="3"/>
  <c r="H529" i="3"/>
  <c r="AC529" i="3"/>
  <c r="BM529" i="3"/>
  <c r="BN529" i="3"/>
  <c r="BO529" i="3"/>
  <c r="BP529" i="3"/>
  <c r="H530" i="3"/>
  <c r="AC530" i="3"/>
  <c r="BM530" i="3"/>
  <c r="BN530" i="3"/>
  <c r="BO530" i="3"/>
  <c r="BP530" i="3"/>
  <c r="H531" i="3"/>
  <c r="AC531" i="3"/>
  <c r="BM531" i="3"/>
  <c r="BN531" i="3"/>
  <c r="BO531" i="3"/>
  <c r="BP531" i="3"/>
  <c r="H532" i="3"/>
  <c r="AC532" i="3"/>
  <c r="BM532" i="3"/>
  <c r="BN532" i="3"/>
  <c r="BO532" i="3"/>
  <c r="BP532" i="3"/>
  <c r="H533" i="3"/>
  <c r="AC533" i="3"/>
  <c r="BM533" i="3"/>
  <c r="BN533" i="3"/>
  <c r="BO533" i="3"/>
  <c r="BP533" i="3"/>
  <c r="H534" i="3"/>
  <c r="AC534" i="3"/>
  <c r="BM534" i="3"/>
  <c r="BN534" i="3"/>
  <c r="BO534" i="3"/>
  <c r="BP534" i="3"/>
  <c r="H535" i="3"/>
  <c r="AC535" i="3"/>
  <c r="BM535" i="3"/>
  <c r="BN535" i="3"/>
  <c r="BO535" i="3"/>
  <c r="BP535" i="3"/>
  <c r="H536" i="3"/>
  <c r="AC536" i="3"/>
  <c r="BM536" i="3"/>
  <c r="BN536" i="3"/>
  <c r="BO536" i="3"/>
  <c r="BP536" i="3"/>
  <c r="H537" i="3"/>
  <c r="AC537" i="3"/>
  <c r="BM537" i="3"/>
  <c r="BN537" i="3"/>
  <c r="BO537" i="3"/>
  <c r="BP537" i="3"/>
  <c r="H538" i="3"/>
  <c r="AC538" i="3"/>
  <c r="BM538" i="3"/>
  <c r="BN538" i="3"/>
  <c r="BO538" i="3"/>
  <c r="BP538" i="3"/>
  <c r="H539" i="3"/>
  <c r="AC539" i="3"/>
  <c r="BM539" i="3"/>
  <c r="BN539" i="3"/>
  <c r="BO539" i="3"/>
  <c r="BP539" i="3"/>
  <c r="H540" i="3"/>
  <c r="AC540" i="3"/>
  <c r="BM540" i="3"/>
  <c r="BN540" i="3"/>
  <c r="BO540" i="3"/>
  <c r="BP540" i="3"/>
  <c r="H541" i="3"/>
  <c r="AC541" i="3"/>
  <c r="BM541" i="3"/>
  <c r="BN541" i="3"/>
  <c r="BO541" i="3"/>
  <c r="BP541" i="3"/>
  <c r="H542" i="3"/>
  <c r="AC542" i="3"/>
  <c r="G542" i="3"/>
  <c r="BM542" i="3"/>
  <c r="BN542" i="3"/>
  <c r="BO542" i="3"/>
  <c r="BP542" i="3"/>
  <c r="H543" i="3"/>
  <c r="AC543" i="3"/>
  <c r="BM543" i="3"/>
  <c r="BN543" i="3"/>
  <c r="BO543" i="3"/>
  <c r="BP543" i="3"/>
  <c r="H544" i="3"/>
  <c r="AC544" i="3"/>
  <c r="BM544" i="3"/>
  <c r="BN544" i="3"/>
  <c r="BO544" i="3"/>
  <c r="BP544" i="3"/>
  <c r="H545" i="3"/>
  <c r="AC545" i="3"/>
  <c r="BM545" i="3"/>
  <c r="BN545" i="3"/>
  <c r="BO545" i="3"/>
  <c r="BP545" i="3"/>
  <c r="H546" i="3"/>
  <c r="AC546" i="3"/>
  <c r="BM546" i="3"/>
  <c r="BN546" i="3"/>
  <c r="BO546" i="3"/>
  <c r="BP546" i="3"/>
  <c r="H547" i="3"/>
  <c r="AC547" i="3"/>
  <c r="BM547" i="3"/>
  <c r="BN547" i="3"/>
  <c r="BO547" i="3"/>
  <c r="BP547" i="3"/>
  <c r="H548" i="3"/>
  <c r="AC548" i="3"/>
  <c r="BM548" i="3"/>
  <c r="BN548" i="3"/>
  <c r="BL548" i="3" s="1"/>
  <c r="BO548" i="3"/>
  <c r="BP548" i="3"/>
  <c r="H549" i="3"/>
  <c r="AC549" i="3"/>
  <c r="BM549" i="3"/>
  <c r="BN549" i="3"/>
  <c r="BO549" i="3"/>
  <c r="BP549" i="3"/>
  <c r="H550" i="3"/>
  <c r="AC550" i="3"/>
  <c r="BM550" i="3"/>
  <c r="BN550" i="3"/>
  <c r="BL550" i="3" s="1"/>
  <c r="BO550" i="3"/>
  <c r="BP550" i="3"/>
  <c r="H551" i="3"/>
  <c r="AC551" i="3"/>
  <c r="G551" i="3"/>
  <c r="BM551" i="3"/>
  <c r="BN551" i="3"/>
  <c r="BO551" i="3"/>
  <c r="BP551" i="3"/>
  <c r="H552" i="3"/>
  <c r="AC552" i="3"/>
  <c r="G552" i="3" s="1"/>
  <c r="BM552" i="3"/>
  <c r="BN552" i="3"/>
  <c r="BO552" i="3"/>
  <c r="BP552" i="3"/>
  <c r="H553" i="3"/>
  <c r="AC553" i="3"/>
  <c r="BM553" i="3"/>
  <c r="BN553" i="3"/>
  <c r="BO553" i="3"/>
  <c r="BP553" i="3"/>
  <c r="H554" i="3"/>
  <c r="AC554" i="3"/>
  <c r="BM554" i="3"/>
  <c r="BN554" i="3"/>
  <c r="BO554" i="3"/>
  <c r="BP554" i="3"/>
  <c r="H555" i="3"/>
  <c r="AC555" i="3"/>
  <c r="BM555" i="3"/>
  <c r="BN555" i="3"/>
  <c r="BO555" i="3"/>
  <c r="BP555" i="3"/>
  <c r="H556" i="3"/>
  <c r="AC556" i="3"/>
  <c r="G556" i="3"/>
  <c r="BM556" i="3"/>
  <c r="BN556" i="3"/>
  <c r="BO556" i="3"/>
  <c r="BP556" i="3"/>
  <c r="H557" i="3"/>
  <c r="BM557" i="3"/>
  <c r="BN557" i="3"/>
  <c r="BO557" i="3"/>
  <c r="BP557" i="3"/>
  <c r="H558" i="3"/>
  <c r="AC558" i="3"/>
  <c r="G558" i="3"/>
  <c r="BM558" i="3"/>
  <c r="BN558" i="3"/>
  <c r="BO558" i="3"/>
  <c r="BP558" i="3"/>
  <c r="H559" i="3"/>
  <c r="AC559" i="3"/>
  <c r="BM559" i="3"/>
  <c r="BN559" i="3"/>
  <c r="BO559" i="3"/>
  <c r="BP559" i="3"/>
  <c r="H560" i="3"/>
  <c r="AC560" i="3"/>
  <c r="BM560" i="3"/>
  <c r="BN560" i="3"/>
  <c r="BO560" i="3"/>
  <c r="BP560" i="3"/>
  <c r="H561" i="3"/>
  <c r="AC561" i="3"/>
  <c r="BM561" i="3"/>
  <c r="BN561" i="3"/>
  <c r="BO561" i="3"/>
  <c r="BP561" i="3"/>
  <c r="H562" i="3"/>
  <c r="AC562" i="3"/>
  <c r="G562" i="3" s="1"/>
  <c r="BM562" i="3"/>
  <c r="BN562" i="3"/>
  <c r="BO562" i="3"/>
  <c r="BP562" i="3"/>
  <c r="H563" i="3"/>
  <c r="AC563" i="3"/>
  <c r="BM563" i="3"/>
  <c r="BN563" i="3"/>
  <c r="BO563" i="3"/>
  <c r="BP563" i="3"/>
  <c r="H564" i="3"/>
  <c r="AC564" i="3"/>
  <c r="BM564" i="3"/>
  <c r="BN564" i="3"/>
  <c r="BO564" i="3"/>
  <c r="BP564" i="3"/>
  <c r="H565" i="3"/>
  <c r="AC565" i="3"/>
  <c r="BM565" i="3"/>
  <c r="BN565" i="3"/>
  <c r="BO565" i="3"/>
  <c r="BP565" i="3"/>
  <c r="H566" i="3"/>
  <c r="AC566" i="3"/>
  <c r="G566" i="3"/>
  <c r="BM566" i="3"/>
  <c r="BN566" i="3"/>
  <c r="BO566" i="3"/>
  <c r="BP566" i="3"/>
  <c r="H567" i="3"/>
  <c r="AC567" i="3"/>
  <c r="BM567" i="3"/>
  <c r="BN567" i="3"/>
  <c r="BO567" i="3"/>
  <c r="BP567" i="3"/>
  <c r="H568" i="3"/>
  <c r="AC568" i="3"/>
  <c r="BM568" i="3"/>
  <c r="BN568" i="3"/>
  <c r="BO568" i="3"/>
  <c r="BP568" i="3"/>
  <c r="H569" i="3"/>
  <c r="AC569" i="3"/>
  <c r="BM569" i="3"/>
  <c r="BN569" i="3"/>
  <c r="BO569" i="3"/>
  <c r="BP569" i="3"/>
  <c r="H570" i="3"/>
  <c r="AC570" i="3"/>
  <c r="G570" i="3" s="1"/>
  <c r="BM570" i="3"/>
  <c r="BN570" i="3"/>
  <c r="BO570" i="3"/>
  <c r="BP570" i="3"/>
  <c r="H571" i="3"/>
  <c r="AC571" i="3"/>
  <c r="BM571" i="3"/>
  <c r="BN571" i="3"/>
  <c r="BO571" i="3"/>
  <c r="BP571" i="3"/>
  <c r="H572" i="3"/>
  <c r="AC572" i="3"/>
  <c r="BM572" i="3"/>
  <c r="BN572" i="3"/>
  <c r="BO572" i="3"/>
  <c r="BP572" i="3"/>
  <c r="H573" i="3"/>
  <c r="AC573" i="3"/>
  <c r="BM573" i="3"/>
  <c r="BN573" i="3"/>
  <c r="BO573" i="3"/>
  <c r="BP573" i="3"/>
  <c r="H574" i="3"/>
  <c r="AC574" i="3"/>
  <c r="G574" i="3"/>
  <c r="BM574" i="3"/>
  <c r="BN574" i="3"/>
  <c r="BO574" i="3"/>
  <c r="BP574" i="3"/>
  <c r="H575" i="3"/>
  <c r="AC575" i="3"/>
  <c r="BM575" i="3"/>
  <c r="BN575" i="3"/>
  <c r="BO575" i="3"/>
  <c r="BP575" i="3"/>
  <c r="H576" i="3"/>
  <c r="AC576" i="3"/>
  <c r="BM576" i="3"/>
  <c r="BN576" i="3"/>
  <c r="BO576" i="3"/>
  <c r="BP576" i="3"/>
  <c r="H577" i="3"/>
  <c r="AC577" i="3"/>
  <c r="BM577" i="3"/>
  <c r="BN577" i="3"/>
  <c r="BO577" i="3"/>
  <c r="BP577" i="3"/>
  <c r="H578" i="3"/>
  <c r="AC578" i="3"/>
  <c r="G578" i="3" s="1"/>
  <c r="BM578" i="3"/>
  <c r="BN578" i="3"/>
  <c r="BO578" i="3"/>
  <c r="BP578" i="3"/>
  <c r="H579" i="3"/>
  <c r="AC579" i="3"/>
  <c r="BM579" i="3"/>
  <c r="BN579" i="3"/>
  <c r="BO579" i="3"/>
  <c r="BP579" i="3"/>
  <c r="H580" i="3"/>
  <c r="AC580" i="3"/>
  <c r="BM580" i="3"/>
  <c r="BN580" i="3"/>
  <c r="BO580" i="3"/>
  <c r="BP580" i="3"/>
  <c r="H581" i="3"/>
  <c r="AC581" i="3"/>
  <c r="BM581" i="3"/>
  <c r="BN581" i="3"/>
  <c r="BO581" i="3"/>
  <c r="BP581" i="3"/>
  <c r="H582" i="3"/>
  <c r="AC582" i="3"/>
  <c r="G582" i="3"/>
  <c r="BM582" i="3"/>
  <c r="BN582" i="3"/>
  <c r="BO582" i="3"/>
  <c r="BP582" i="3"/>
  <c r="H583" i="3"/>
  <c r="AC583" i="3"/>
  <c r="BM583" i="3"/>
  <c r="BN583" i="3"/>
  <c r="BO583" i="3"/>
  <c r="BP583" i="3"/>
  <c r="H584" i="3"/>
  <c r="AC584" i="3"/>
  <c r="BM584" i="3"/>
  <c r="BN584" i="3"/>
  <c r="BO584" i="3"/>
  <c r="BP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D113" i="33"/>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5" i="33"/>
  <c r="E85" i="33" s="1"/>
  <c r="D81" i="33"/>
  <c r="E81" i="33" s="1"/>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H54" i="33"/>
  <c r="F54" i="33"/>
  <c r="P49" i="33"/>
  <c r="P48" i="33"/>
  <c r="P47" i="33"/>
  <c r="Q46" i="33"/>
  <c r="Z46" i="33"/>
  <c r="Q45" i="33"/>
  <c r="Z45" i="33"/>
  <c r="Q44" i="33"/>
  <c r="Z44" i="33"/>
  <c r="Q43" i="33"/>
  <c r="Z43" i="33"/>
  <c r="Q42" i="33"/>
  <c r="Z42" i="33"/>
  <c r="W41" i="33"/>
  <c r="Q41" i="33"/>
  <c r="Z41" i="33" s="1"/>
  <c r="Q40" i="33"/>
  <c r="Z40" i="33" s="1"/>
  <c r="J40" i="33"/>
  <c r="AC40" i="33" s="1"/>
  <c r="H40" i="33"/>
  <c r="AB40" i="33" s="1"/>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M585" i="3"/>
  <c r="BN585" i="3"/>
  <c r="BL585" i="3" s="1"/>
  <c r="AZ585" i="3" s="1"/>
  <c r="BO585" i="3"/>
  <c r="BP585" i="3"/>
  <c r="BM586" i="3"/>
  <c r="BN586" i="3"/>
  <c r="BL586" i="3" s="1"/>
  <c r="BO586" i="3"/>
  <c r="BP586" i="3"/>
  <c r="BM587" i="3"/>
  <c r="BN587" i="3"/>
  <c r="BO587" i="3"/>
  <c r="BP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S9" i="33"/>
  <c r="U33" i="33"/>
  <c r="U35" i="33"/>
  <c r="S40" i="33"/>
  <c r="W33"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S9" i="34"/>
  <c r="W8" i="34"/>
  <c r="J28" i="34"/>
  <c r="W28" i="34" s="1"/>
  <c r="E113"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F28" i="40"/>
  <c r="AA28" i="40" s="1"/>
  <c r="AA29" i="35"/>
  <c r="AA42" i="34"/>
  <c r="S42" i="34"/>
  <c r="AC38" i="34"/>
  <c r="AA38" i="34"/>
  <c r="J37" i="34"/>
  <c r="AC37" i="34"/>
  <c r="W11" i="33"/>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30" i="21"/>
  <c r="W31" i="34"/>
  <c r="AC13" i="36"/>
  <c r="W13" i="36"/>
  <c r="S11" i="36"/>
  <c r="W11" i="36"/>
  <c r="W11" i="35"/>
  <c r="AB46" i="34"/>
  <c r="AC30" i="34"/>
  <c r="AA14" i="34"/>
  <c r="S45" i="33"/>
  <c r="AB45" i="33"/>
  <c r="AB31" i="33"/>
  <c r="U31" i="33"/>
  <c r="W29" i="33"/>
  <c r="U13" i="33"/>
  <c r="AC28" i="21"/>
  <c r="S44" i="34"/>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AZ582" i="3"/>
  <c r="AZ580" i="3"/>
  <c r="AZ578" i="3"/>
  <c r="AZ576" i="3"/>
  <c r="AZ574" i="3"/>
  <c r="AZ572" i="3"/>
  <c r="AZ570" i="3"/>
  <c r="AZ568" i="3"/>
  <c r="AZ566" i="3"/>
  <c r="AZ564" i="3"/>
  <c r="AZ562" i="3"/>
  <c r="BL558" i="3"/>
  <c r="AZ558" i="3"/>
  <c r="AZ554" i="3"/>
  <c r="AZ552" i="3"/>
  <c r="AZ587" i="3"/>
  <c r="BL581" i="3"/>
  <c r="AZ581" i="3"/>
  <c r="AZ560" i="3"/>
  <c r="G583" i="3"/>
  <c r="G581" i="3"/>
  <c r="G579" i="3"/>
  <c r="G577" i="3"/>
  <c r="G575" i="3"/>
  <c r="G573" i="3"/>
  <c r="G571" i="3"/>
  <c r="G569" i="3"/>
  <c r="G567" i="3"/>
  <c r="G565" i="3"/>
  <c r="G563" i="3"/>
  <c r="G561" i="3"/>
  <c r="BL557" i="3"/>
  <c r="AZ557" i="3" s="1"/>
  <c r="AC557" i="3"/>
  <c r="G557" i="3" s="1"/>
  <c r="BL583" i="3"/>
  <c r="AZ583" i="3" s="1"/>
  <c r="BL579" i="3"/>
  <c r="AZ579" i="3" s="1"/>
  <c r="BL577" i="3"/>
  <c r="AZ577" i="3" s="1"/>
  <c r="BL575" i="3"/>
  <c r="AZ575" i="3" s="1"/>
  <c r="BL573" i="3"/>
  <c r="AZ573" i="3" s="1"/>
  <c r="BL571" i="3"/>
  <c r="AZ571" i="3" s="1"/>
  <c r="BL569" i="3"/>
  <c r="AZ569" i="3" s="1"/>
  <c r="BL567" i="3"/>
  <c r="AZ567" i="3" s="1"/>
  <c r="BL565" i="3"/>
  <c r="AZ565" i="3" s="1"/>
  <c r="BL563" i="3"/>
  <c r="BL561" i="3"/>
  <c r="AZ561" i="3"/>
  <c r="BL559" i="3"/>
  <c r="AZ559" i="3"/>
  <c r="G559" i="3"/>
  <c r="G555" i="3"/>
  <c r="G553" i="3"/>
  <c r="G549" i="3"/>
  <c r="G547" i="3"/>
  <c r="G545" i="3"/>
  <c r="G543" i="3"/>
  <c r="G541" i="3"/>
  <c r="G539" i="3"/>
  <c r="G537" i="3"/>
  <c r="BL555" i="3"/>
  <c r="AZ555" i="3"/>
  <c r="BL553" i="3"/>
  <c r="AZ553" i="3"/>
  <c r="BL551" i="3"/>
  <c r="BL547" i="3"/>
  <c r="AZ547" i="3" s="1"/>
  <c r="BL545" i="3"/>
  <c r="AZ545" i="3" s="1"/>
  <c r="BL543" i="3"/>
  <c r="AZ543" i="3" s="1"/>
  <c r="BL541" i="3"/>
  <c r="AZ541" i="3" s="1"/>
  <c r="BL539" i="3"/>
  <c r="AZ539" i="3" s="1"/>
  <c r="BL537" i="3"/>
  <c r="AZ537" i="3" s="1"/>
  <c r="BL535" i="3"/>
  <c r="AZ535" i="3" s="1"/>
  <c r="BL533" i="3"/>
  <c r="AZ533" i="3" s="1"/>
  <c r="BL531" i="3"/>
  <c r="AZ531" i="3" s="1"/>
  <c r="BL529" i="3"/>
  <c r="AZ529" i="3" s="1"/>
  <c r="BL527" i="3"/>
  <c r="AZ527" i="3" s="1"/>
  <c r="BL525" i="3"/>
  <c r="AZ525" i="3" s="1"/>
  <c r="BL523" i="3"/>
  <c r="AZ523" i="3" s="1"/>
  <c r="BL521" i="3"/>
  <c r="AZ521" i="3" s="1"/>
  <c r="AC521" i="3"/>
  <c r="G521" i="3" s="1"/>
  <c r="BL520" i="3"/>
  <c r="G519" i="3"/>
  <c r="G517" i="3"/>
  <c r="G515" i="3"/>
  <c r="G513" i="3"/>
  <c r="G511" i="3"/>
  <c r="BL519" i="3"/>
  <c r="AZ519" i="3"/>
  <c r="BL517" i="3"/>
  <c r="AZ517" i="3"/>
  <c r="BL515" i="3"/>
  <c r="AZ515" i="3"/>
  <c r="BL513" i="3"/>
  <c r="AZ513" i="3"/>
  <c r="BL511" i="3"/>
  <c r="AZ511" i="3"/>
  <c r="AC509" i="3"/>
  <c r="BL509" i="3"/>
  <c r="BL508" i="3"/>
  <c r="G507" i="3"/>
  <c r="G505" i="3"/>
  <c r="G503" i="3"/>
  <c r="G501" i="3"/>
  <c r="G499" i="3"/>
  <c r="G497" i="3"/>
  <c r="G495" i="3"/>
  <c r="BL507" i="3"/>
  <c r="AZ507" i="3" s="1"/>
  <c r="BL505" i="3"/>
  <c r="AZ505" i="3" s="1"/>
  <c r="BL503" i="3"/>
  <c r="AZ503" i="3" s="1"/>
  <c r="BL501" i="3"/>
  <c r="BL499" i="3"/>
  <c r="BL497" i="3"/>
  <c r="BL495" i="3"/>
  <c r="AZ495" i="3"/>
  <c r="AZ584" i="3"/>
  <c r="S505" i="31"/>
  <c r="S503" i="31"/>
  <c r="S501" i="31"/>
  <c r="S499" i="31"/>
  <c r="O27" i="31"/>
  <c r="O28" i="31"/>
  <c r="O26" i="31"/>
  <c r="M27" i="31"/>
  <c r="M28" i="31"/>
  <c r="M26" i="31"/>
  <c r="I26" i="31"/>
  <c r="I25" i="31"/>
  <c r="K26" i="31"/>
  <c r="I27" i="31"/>
  <c r="Q27" i="31"/>
  <c r="K27" i="31"/>
  <c r="I28" i="31"/>
  <c r="Q28" i="31"/>
  <c r="K28" i="31"/>
  <c r="AC28" i="34"/>
  <c r="S21" i="40"/>
  <c r="AA12" i="21"/>
  <c r="H25" i="21"/>
  <c r="U25" i="21" s="1"/>
  <c r="F25" i="21"/>
  <c r="S25" i="21" s="1"/>
  <c r="J25" i="21"/>
  <c r="AC25" i="21" s="1"/>
  <c r="E125" i="33"/>
  <c r="F125" i="33" s="1"/>
  <c r="G125" i="33" s="1"/>
  <c r="H17" i="37"/>
  <c r="U17" i="37" s="1"/>
  <c r="AB27" i="37"/>
  <c r="AA36" i="39"/>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G546" i="3"/>
  <c r="G524" i="3"/>
  <c r="G303" i="3"/>
  <c r="BL304" i="3"/>
  <c r="AZ304" i="3" s="1"/>
  <c r="G305" i="3"/>
  <c r="BL306" i="3"/>
  <c r="AZ308" i="3"/>
  <c r="BL309" i="3"/>
  <c r="G310" i="3"/>
  <c r="G319" i="3"/>
  <c r="BL320" i="3"/>
  <c r="G321" i="3"/>
  <c r="BL322" i="3"/>
  <c r="AZ324" i="3"/>
  <c r="BL325" i="3"/>
  <c r="G326" i="3"/>
  <c r="G335" i="3"/>
  <c r="BL336" i="3"/>
  <c r="AZ336" i="3" s="1"/>
  <c r="G337" i="3"/>
  <c r="BL338" i="3"/>
  <c r="AZ340" i="3"/>
  <c r="BL341" i="3"/>
  <c r="BL355" i="3"/>
  <c r="G356" i="3"/>
  <c r="BL357" i="3"/>
  <c r="AZ359" i="3"/>
  <c r="BL360" i="3"/>
  <c r="G361" i="3"/>
  <c r="BL362" i="3"/>
  <c r="AZ362" i="3"/>
  <c r="G370" i="3"/>
  <c r="BL371" i="3"/>
  <c r="G372" i="3"/>
  <c r="BL373" i="3"/>
  <c r="AZ373" i="3" s="1"/>
  <c r="AZ375" i="3"/>
  <c r="BL376" i="3"/>
  <c r="AZ376" i="3" s="1"/>
  <c r="G377" i="3"/>
  <c r="BL378" i="3"/>
  <c r="AZ378" i="3" s="1"/>
  <c r="G379" i="3"/>
  <c r="G388" i="3"/>
  <c r="BL389" i="3"/>
  <c r="G390" i="3"/>
  <c r="BL391" i="3"/>
  <c r="AZ393" i="3"/>
  <c r="BL394" i="3"/>
  <c r="AZ394" i="3" s="1"/>
  <c r="G113" i="3"/>
  <c r="AZ115" i="3"/>
  <c r="BL116" i="3"/>
  <c r="AZ116" i="3"/>
  <c r="G117" i="3"/>
  <c r="AZ119" i="3"/>
  <c r="BL120" i="3"/>
  <c r="G121" i="3"/>
  <c r="AZ123" i="3"/>
  <c r="BL124" i="3"/>
  <c r="AZ124" i="3" s="1"/>
  <c r="G125" i="3"/>
  <c r="AZ127" i="3"/>
  <c r="BL128" i="3"/>
  <c r="AZ128" i="3" s="1"/>
  <c r="G129" i="3"/>
  <c r="AZ131" i="3"/>
  <c r="BL132" i="3"/>
  <c r="AZ132" i="3"/>
  <c r="G133" i="3"/>
  <c r="AZ135" i="3"/>
  <c r="BL136" i="3"/>
  <c r="G137" i="3"/>
  <c r="AZ139" i="3"/>
  <c r="BL140" i="3"/>
  <c r="AZ140" i="3" s="1"/>
  <c r="G141" i="3"/>
  <c r="AZ143" i="3"/>
  <c r="BL144" i="3"/>
  <c r="AZ144" i="3" s="1"/>
  <c r="G145" i="3"/>
  <c r="AZ147" i="3"/>
  <c r="BL148" i="3"/>
  <c r="AZ148" i="3"/>
  <c r="G149" i="3"/>
  <c r="AZ151" i="3"/>
  <c r="BL152" i="3"/>
  <c r="G153" i="3"/>
  <c r="AZ155" i="3"/>
  <c r="BL156" i="3"/>
  <c r="AZ156" i="3" s="1"/>
  <c r="G157" i="3"/>
  <c r="AZ159" i="3"/>
  <c r="BL160" i="3"/>
  <c r="AZ160" i="3" s="1"/>
  <c r="G161" i="3"/>
  <c r="AZ163" i="3"/>
  <c r="BL164" i="3"/>
  <c r="AZ164" i="3"/>
  <c r="G165" i="3"/>
  <c r="AZ167" i="3"/>
  <c r="BL168" i="3"/>
  <c r="G169" i="3"/>
  <c r="AZ171" i="3"/>
  <c r="BL172" i="3"/>
  <c r="AZ172" i="3" s="1"/>
  <c r="G173" i="3"/>
  <c r="AZ175" i="3"/>
  <c r="BL176" i="3"/>
  <c r="AZ176" i="3" s="1"/>
  <c r="G177" i="3"/>
  <c r="AZ179" i="3"/>
  <c r="BL180" i="3"/>
  <c r="AZ180" i="3"/>
  <c r="G181" i="3"/>
  <c r="AZ183" i="3"/>
  <c r="BL184" i="3"/>
  <c r="G185" i="3"/>
  <c r="AZ187" i="3"/>
  <c r="BL188" i="3"/>
  <c r="AZ188" i="3" s="1"/>
  <c r="G189" i="3"/>
  <c r="AZ191" i="3"/>
  <c r="BL192" i="3"/>
  <c r="AZ192" i="3" s="1"/>
  <c r="G193" i="3"/>
  <c r="AZ195" i="3"/>
  <c r="BL196" i="3"/>
  <c r="AZ196" i="3"/>
  <c r="G197" i="3"/>
  <c r="AZ199" i="3"/>
  <c r="BL200" i="3"/>
  <c r="G201" i="3"/>
  <c r="AZ203" i="3"/>
  <c r="BL204" i="3"/>
  <c r="AZ204" i="3" s="1"/>
  <c r="AZ39" i="3"/>
  <c r="AZ43" i="3"/>
  <c r="AZ47" i="3"/>
  <c r="AZ51" i="3"/>
  <c r="AZ55" i="3"/>
  <c r="AZ59" i="3"/>
  <c r="AZ63" i="3"/>
  <c r="AZ67" i="3"/>
  <c r="AZ71" i="3"/>
  <c r="AZ75" i="3"/>
  <c r="AZ79" i="3"/>
  <c r="AZ83" i="3"/>
  <c r="AZ136" i="3"/>
  <c r="AZ152" i="3"/>
  <c r="AZ168" i="3"/>
  <c r="AZ184" i="3"/>
  <c r="AZ200" i="3"/>
  <c r="AZ85" i="3"/>
  <c r="AZ89" i="3"/>
  <c r="AZ93" i="3"/>
  <c r="AZ97" i="3"/>
  <c r="AZ101" i="3"/>
  <c r="AZ105" i="3"/>
  <c r="AZ109" i="3"/>
  <c r="AZ120" i="3"/>
  <c r="G534" i="3"/>
  <c r="G530" i="3"/>
  <c r="G522" i="3"/>
  <c r="G516" i="3"/>
  <c r="G512" i="3"/>
  <c r="G506" i="3"/>
  <c r="G498" i="3"/>
  <c r="G494" i="3"/>
  <c r="G16" i="3"/>
  <c r="BL305" i="3"/>
  <c r="AZ305" i="3" s="1"/>
  <c r="G306" i="3"/>
  <c r="G309" i="3"/>
  <c r="BL310" i="3"/>
  <c r="AZ312" i="3"/>
  <c r="BL313" i="3"/>
  <c r="AZ313" i="3" s="1"/>
  <c r="G314" i="3"/>
  <c r="G317" i="3"/>
  <c r="BL318" i="3"/>
  <c r="AZ320" i="3"/>
  <c r="BL321" i="3"/>
  <c r="AZ321" i="3" s="1"/>
  <c r="G322" i="3"/>
  <c r="G325" i="3"/>
  <c r="BL326" i="3"/>
  <c r="AZ326" i="3" s="1"/>
  <c r="AZ328" i="3"/>
  <c r="BL329" i="3"/>
  <c r="AZ329" i="3" s="1"/>
  <c r="G330" i="3"/>
  <c r="G333" i="3"/>
  <c r="BL334" i="3"/>
  <c r="AZ334" i="3" s="1"/>
  <c r="BL337" i="3"/>
  <c r="AZ337" i="3" s="1"/>
  <c r="G338" i="3"/>
  <c r="G341" i="3"/>
  <c r="BL342" i="3"/>
  <c r="AZ342" i="3" s="1"/>
  <c r="BL344" i="3"/>
  <c r="AZ344" i="3" s="1"/>
  <c r="AZ346" i="3"/>
  <c r="BL347" i="3"/>
  <c r="AZ347" i="3"/>
  <c r="G350" i="3"/>
  <c r="BL351" i="3"/>
  <c r="AZ351" i="3" s="1"/>
  <c r="G352" i="3"/>
  <c r="G354" i="3"/>
  <c r="AZ355" i="3"/>
  <c r="BL356" i="3"/>
  <c r="G357" i="3"/>
  <c r="G360" i="3"/>
  <c r="BL361" i="3"/>
  <c r="AZ363" i="3"/>
  <c r="BL364" i="3"/>
  <c r="G365" i="3"/>
  <c r="G368" i="3"/>
  <c r="BL369" i="3"/>
  <c r="AZ371" i="3"/>
  <c r="BL372" i="3"/>
  <c r="AZ372" i="3"/>
  <c r="G373" i="3"/>
  <c r="G376" i="3"/>
  <c r="BL377" i="3"/>
  <c r="BL379" i="3"/>
  <c r="AZ379" i="3" s="1"/>
  <c r="AZ381" i="3"/>
  <c r="BL382" i="3"/>
  <c r="AZ382" i="3" s="1"/>
  <c r="G383" i="3"/>
  <c r="G386" i="3"/>
  <c r="BL387" i="3"/>
  <c r="AZ389" i="3"/>
  <c r="BL390" i="3"/>
  <c r="G391" i="3"/>
  <c r="G394" i="3"/>
  <c r="AZ138" i="3"/>
  <c r="AZ142" i="3"/>
  <c r="AZ146" i="3"/>
  <c r="AZ150" i="3"/>
  <c r="AZ154" i="3"/>
  <c r="AZ158" i="3"/>
  <c r="AZ162" i="3"/>
  <c r="AZ166" i="3"/>
  <c r="AZ170" i="3"/>
  <c r="AZ174" i="3"/>
  <c r="AZ178" i="3"/>
  <c r="AZ182" i="3"/>
  <c r="AZ186" i="3"/>
  <c r="AZ190" i="3"/>
  <c r="AZ194" i="3"/>
  <c r="AZ198" i="3"/>
  <c r="AZ202" i="3"/>
  <c r="AZ206" i="3"/>
  <c r="AZ16" i="3"/>
  <c r="BL303" i="3"/>
  <c r="G304" i="3"/>
  <c r="AZ306" i="3"/>
  <c r="BL307" i="3"/>
  <c r="AZ307" i="3"/>
  <c r="G308" i="3"/>
  <c r="AZ310" i="3"/>
  <c r="BL311" i="3"/>
  <c r="AZ311" i="3"/>
  <c r="G312" i="3"/>
  <c r="AZ314" i="3"/>
  <c r="BL315" i="3"/>
  <c r="AZ315" i="3"/>
  <c r="G316" i="3"/>
  <c r="AZ318" i="3"/>
  <c r="BL319" i="3"/>
  <c r="G320" i="3"/>
  <c r="AZ322" i="3"/>
  <c r="BL323" i="3"/>
  <c r="AZ323" i="3" s="1"/>
  <c r="G324" i="3"/>
  <c r="BL327" i="3"/>
  <c r="AZ327" i="3" s="1"/>
  <c r="G328" i="3"/>
  <c r="AZ330" i="3"/>
  <c r="BL331" i="3"/>
  <c r="AZ331" i="3" s="1"/>
  <c r="G332" i="3"/>
  <c r="BL335" i="3"/>
  <c r="G336" i="3"/>
  <c r="AZ338" i="3"/>
  <c r="BL339" i="3"/>
  <c r="AZ339" i="3"/>
  <c r="G340" i="3"/>
  <c r="BL343" i="3"/>
  <c r="AZ343" i="3" s="1"/>
  <c r="G344" i="3"/>
  <c r="G348" i="3"/>
  <c r="G355" i="3"/>
  <c r="AZ209" i="3"/>
  <c r="AZ214" i="3"/>
  <c r="AZ218" i="3"/>
  <c r="AZ222" i="3"/>
  <c r="AZ303" i="3"/>
  <c r="AZ319" i="3"/>
  <c r="AZ335" i="3"/>
  <c r="G342" i="3"/>
  <c r="BL345" i="3"/>
  <c r="AZ345" i="3" s="1"/>
  <c r="G346" i="3"/>
  <c r="AZ348" i="3"/>
  <c r="BL349" i="3"/>
  <c r="AZ349" i="3" s="1"/>
  <c r="BL352" i="3"/>
  <c r="AZ352" i="3" s="1"/>
  <c r="G353" i="3"/>
  <c r="AZ357" i="3"/>
  <c r="BL358" i="3"/>
  <c r="AZ358" i="3"/>
  <c r="G359" i="3"/>
  <c r="AZ361" i="3"/>
  <c r="G363" i="3"/>
  <c r="AZ365" i="3"/>
  <c r="BL366" i="3"/>
  <c r="AZ366" i="3"/>
  <c r="G367" i="3"/>
  <c r="AZ369" i="3"/>
  <c r="BL370" i="3"/>
  <c r="G371" i="3"/>
  <c r="BL374" i="3"/>
  <c r="AZ374" i="3" s="1"/>
  <c r="G375" i="3"/>
  <c r="AZ377" i="3"/>
  <c r="AZ229" i="3"/>
  <c r="AZ233" i="3"/>
  <c r="AZ237" i="3"/>
  <c r="AZ241" i="3"/>
  <c r="AZ245" i="3"/>
  <c r="AZ249" i="3"/>
  <c r="AZ253" i="3"/>
  <c r="AZ257" i="3"/>
  <c r="AZ261" i="3"/>
  <c r="AZ265" i="3"/>
  <c r="AZ269" i="3"/>
  <c r="AZ273" i="3"/>
  <c r="AZ370" i="3"/>
  <c r="BL380" i="3"/>
  <c r="G381" i="3"/>
  <c r="AZ383" i="3"/>
  <c r="BL384" i="3"/>
  <c r="G385" i="3"/>
  <c r="AZ387" i="3"/>
  <c r="BL388" i="3"/>
  <c r="G389"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G548" i="3"/>
  <c r="G538" i="3"/>
  <c r="G520" i="3"/>
  <c r="G502" i="3"/>
  <c r="BP5" i="3"/>
  <c r="BN5" i="3"/>
  <c r="BK5" i="3"/>
  <c r="BI5" i="3"/>
  <c r="BG5" i="3"/>
  <c r="BE5" i="3"/>
  <c r="G17" i="3"/>
  <c r="AZ350" i="3"/>
  <c r="AZ356" i="3"/>
  <c r="AZ360" i="3"/>
  <c r="AZ364" i="3"/>
  <c r="AZ368" i="3"/>
  <c r="AZ380" i="3"/>
  <c r="AZ384" i="3"/>
  <c r="AZ388" i="3"/>
  <c r="AZ392" i="3"/>
  <c r="AZ396" i="3"/>
  <c r="AZ499" i="3"/>
  <c r="AZ509" i="3"/>
  <c r="G509" i="3"/>
  <c r="BL493" i="3"/>
  <c r="AZ491" i="3"/>
  <c r="AZ390" i="3"/>
  <c r="AZ493" i="3"/>
  <c r="U36" i="40"/>
  <c r="N4" i="43"/>
  <c r="F36" i="43"/>
  <c r="F81" i="43"/>
  <c r="H83" i="43" s="1"/>
  <c r="H113" i="43"/>
  <c r="F48" i="43"/>
  <c r="H52" i="43"/>
  <c r="N7" i="43"/>
  <c r="F70" i="43"/>
  <c r="H73" i="43" s="1"/>
  <c r="M6" i="43"/>
  <c r="M11" i="43"/>
  <c r="E17" i="43"/>
  <c r="F39" i="43"/>
  <c r="I17" i="43"/>
  <c r="F35" i="43"/>
  <c r="J17" i="43"/>
  <c r="U17" i="39"/>
  <c r="S14" i="35"/>
  <c r="U43" i="21"/>
  <c r="U35" i="21"/>
  <c r="AC35" i="21"/>
  <c r="U10" i="21"/>
  <c r="O6" i="1"/>
  <c r="P6" i="1"/>
  <c r="G9" i="1"/>
  <c r="G10" i="1"/>
  <c r="F48" i="9"/>
  <c r="O52" i="9" s="1"/>
  <c r="AC11" i="39"/>
  <c r="AZ563" i="3"/>
  <c r="AZ501" i="3"/>
  <c r="W37" i="37"/>
  <c r="W44" i="34"/>
  <c r="AC44" i="34"/>
  <c r="S15" i="37"/>
  <c r="U13" i="37"/>
  <c r="U12" i="40"/>
  <c r="AA12" i="40"/>
  <c r="W37" i="33"/>
  <c r="AC17" i="34"/>
  <c r="F106" i="33"/>
  <c r="G106" i="33" s="1"/>
  <c r="H106" i="33" s="1"/>
  <c r="I106" i="33" s="1"/>
  <c r="J106" i="33" s="1"/>
  <c r="K106" i="33" s="1"/>
  <c r="L106" i="33" s="1"/>
  <c r="M106"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S10" i="33"/>
  <c r="S35" i="33"/>
  <c r="F39" i="34"/>
  <c r="S39" i="34"/>
  <c r="J39" i="34"/>
  <c r="W39" i="34"/>
  <c r="F40" i="34"/>
  <c r="S40" i="34"/>
  <c r="F43" i="34"/>
  <c r="AA43" i="34"/>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c r="P9" i="1"/>
  <c r="F3" i="35"/>
  <c r="D93" i="9"/>
  <c r="AE9" i="1"/>
  <c r="BL15" i="3"/>
  <c r="G29" i="6"/>
  <c r="W27" i="34"/>
  <c r="AC27" i="34"/>
  <c r="AB34" i="36"/>
  <c r="U34" i="36"/>
  <c r="AB33" i="36"/>
  <c r="U33" i="36"/>
  <c r="AC12" i="39"/>
  <c r="W12" i="39"/>
  <c r="AC39" i="40"/>
  <c r="W39" i="40"/>
  <c r="AZ401" i="3"/>
  <c r="AZ417" i="3"/>
  <c r="AZ433" i="3"/>
  <c r="AZ465" i="3"/>
  <c r="AZ586" i="3"/>
  <c r="W12" i="33"/>
  <c r="AC12" i="33"/>
  <c r="AA32" i="36"/>
  <c r="S32" i="36"/>
  <c r="AZ551" i="3"/>
  <c r="AZ550" i="3"/>
  <c r="AZ408" i="3"/>
  <c r="AZ437" i="3"/>
  <c r="AZ441" i="3"/>
  <c r="AZ457" i="3"/>
  <c r="AZ473"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c r="P12" i="1"/>
  <c r="S13" i="1"/>
  <c r="AR13" i="1" s="1"/>
  <c r="R13" i="1"/>
  <c r="S11" i="1"/>
  <c r="AQ11" i="1" s="1"/>
  <c r="R11" i="1"/>
  <c r="S9" i="1"/>
  <c r="AR9" i="1" s="1"/>
  <c r="R9" i="1"/>
  <c r="J51" i="67"/>
  <c r="H100" i="43"/>
  <c r="C30" i="66"/>
  <c r="E26" i="66"/>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AA29" i="33"/>
  <c r="AB29" i="33"/>
  <c r="F121" i="33"/>
  <c r="G121" i="33"/>
  <c r="H121" i="33" s="1"/>
  <c r="I121" i="33" s="1"/>
  <c r="J121" i="33" s="1"/>
  <c r="K121" i="33" s="1"/>
  <c r="L121" i="33" s="1"/>
  <c r="M121" i="33" s="1"/>
  <c r="G108" i="33"/>
  <c r="H108" i="33" s="1"/>
  <c r="I108" i="33" s="1"/>
  <c r="J108" i="33" s="1"/>
  <c r="K108" i="33" s="1"/>
  <c r="L108" i="33" s="1"/>
  <c r="M108" i="33" s="1"/>
  <c r="S37" i="33"/>
  <c r="F101" i="33"/>
  <c r="G101" i="33"/>
  <c r="H101" i="33" s="1"/>
  <c r="I101" i="33" s="1"/>
  <c r="J101" i="33" s="1"/>
  <c r="K101" i="33" s="1"/>
  <c r="L101" i="33" s="1"/>
  <c r="M101" i="33" s="1"/>
  <c r="S46" i="33"/>
  <c r="F91" i="33"/>
  <c r="F87" i="33"/>
  <c r="F85" i="33"/>
  <c r="F81" i="33"/>
  <c r="S19" i="33"/>
  <c r="W19" i="33"/>
  <c r="F79" i="33"/>
  <c r="U9" i="33"/>
  <c r="I66" i="33"/>
  <c r="AB14" i="33"/>
  <c r="W43" i="21"/>
  <c r="W36" i="21"/>
  <c r="W41" i="21"/>
  <c r="AB39" i="21"/>
  <c r="AA43" i="21"/>
  <c r="S39" i="21"/>
  <c r="AA38" i="21"/>
  <c r="AA36" i="21"/>
  <c r="AC40" i="21"/>
  <c r="J15" i="21"/>
  <c r="W15" i="21"/>
  <c r="F77" i="21"/>
  <c r="G77" i="21"/>
  <c r="F23" i="21"/>
  <c r="S23" i="21" s="1"/>
  <c r="E85" i="21"/>
  <c r="AC11" i="21"/>
  <c r="AA14" i="21"/>
  <c r="AB8" i="21"/>
  <c r="S8" i="21"/>
  <c r="M3" i="43"/>
  <c r="N10" i="43"/>
  <c r="M1" i="43"/>
  <c r="M8" i="43"/>
  <c r="N8" i="43"/>
  <c r="N9" i="43"/>
  <c r="C18" i="9"/>
  <c r="D18" i="9" s="1"/>
  <c r="F34" i="67"/>
  <c r="F62" i="67"/>
  <c r="M20" i="67"/>
  <c r="F34" i="15"/>
  <c r="F62" i="15" s="1"/>
  <c r="BL13" i="3"/>
  <c r="BL17" i="3"/>
  <c r="AZ17" i="3" s="1"/>
  <c r="J56" i="9"/>
  <c r="J57" i="9" s="1"/>
  <c r="J59" i="9" s="1"/>
  <c r="J61" i="9" s="1"/>
  <c r="A24" i="51"/>
  <c r="B18" i="72"/>
  <c r="U29" i="34"/>
  <c r="E5" i="6"/>
  <c r="D9" i="11" s="1"/>
  <c r="C9" i="11" s="1"/>
  <c r="P10" i="1"/>
  <c r="E32" i="6"/>
  <c r="G1" i="68"/>
  <c r="K1" i="12"/>
  <c r="AQ13" i="1"/>
  <c r="AR12" i="1"/>
  <c r="AQ12" i="1"/>
  <c r="T12" i="1"/>
  <c r="AR10" i="1"/>
  <c r="AQ10" i="1"/>
  <c r="T10" i="1"/>
  <c r="E19" i="69"/>
  <c r="E19" i="68"/>
  <c r="E19" i="11"/>
  <c r="M18" i="15"/>
  <c r="G41" i="69"/>
  <c r="G22" i="69"/>
  <c r="G41" i="68"/>
  <c r="G22" i="68"/>
  <c r="G27" i="12"/>
  <c r="G26" i="12"/>
  <c r="G41" i="11"/>
  <c r="G22" i="11"/>
  <c r="G25" i="12"/>
  <c r="C100" i="43"/>
  <c r="E11" i="43"/>
  <c r="E10" i="43"/>
  <c r="E9" i="43"/>
  <c r="E8" i="43"/>
  <c r="C7" i="43"/>
  <c r="E81" i="43"/>
  <c r="B79" i="43"/>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C7" i="21"/>
  <c r="C58" i="21" s="1"/>
  <c r="C7" i="40"/>
  <c r="C63" i="40"/>
  <c r="M47" i="9"/>
  <c r="G19" i="43"/>
  <c r="P23" i="43" s="1"/>
  <c r="B71" i="39" s="1"/>
  <c r="T35" i="4"/>
  <c r="A19" i="51"/>
  <c r="B14" i="72" s="1"/>
  <c r="C46" i="36"/>
  <c r="D46" i="36" s="1"/>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B6" i="1"/>
  <c r="E6" i="1" s="1"/>
  <c r="K11" i="1"/>
  <c r="M11" i="1" s="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S33" i="33"/>
  <c r="U44" i="33"/>
  <c r="AB44" i="33"/>
  <c r="S30" i="33"/>
  <c r="AA30" i="33"/>
  <c r="AC14" i="33"/>
  <c r="W14" i="33"/>
  <c r="AC30" i="33"/>
  <c r="W30" i="33"/>
  <c r="S31" i="33"/>
  <c r="AA31" i="33"/>
  <c r="W13" i="33"/>
  <c r="AC13" i="33"/>
  <c r="S11" i="33"/>
  <c r="U37"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4" i="49"/>
  <c r="E22" i="49"/>
  <c r="D23" i="15"/>
  <c r="D22" i="15"/>
  <c r="B5" i="49"/>
  <c r="E16" i="49"/>
  <c r="E8" i="49"/>
  <c r="E10" i="49"/>
  <c r="E5" i="49"/>
  <c r="B4" i="49"/>
  <c r="E4" i="49"/>
  <c r="M18" i="67"/>
  <c r="F30" i="69"/>
  <c r="F32" i="67"/>
  <c r="F60" i="67"/>
  <c r="F32" i="15"/>
  <c r="F60" i="15"/>
  <c r="F28" i="67"/>
  <c r="F30" i="68"/>
  <c r="F31" i="12"/>
  <c r="F30" i="11"/>
  <c r="F52" i="9"/>
  <c r="F28" i="15"/>
  <c r="D9" i="69"/>
  <c r="C9" i="69" s="1"/>
  <c r="AQ9" i="1"/>
  <c r="T9" i="1"/>
  <c r="T13" i="1"/>
  <c r="P24" i="43"/>
  <c r="B66" i="40" s="1"/>
  <c r="AA39" i="40"/>
  <c r="S39" i="40"/>
  <c r="S12" i="33"/>
  <c r="AA12" i="33"/>
  <c r="C16" i="4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W10" i="34" s="1"/>
  <c r="I67" i="34"/>
  <c r="U41" i="33"/>
  <c r="W35" i="33"/>
  <c r="G91" i="33"/>
  <c r="H91" i="33"/>
  <c r="I91" i="33" s="1"/>
  <c r="J91" i="33" s="1"/>
  <c r="K91" i="33" s="1"/>
  <c r="L91" i="33" s="1"/>
  <c r="M91" i="33" s="1"/>
  <c r="U25" i="33"/>
  <c r="G87" i="33"/>
  <c r="H87" i="33" s="1"/>
  <c r="I87" i="33" s="1"/>
  <c r="J87" i="33" s="1"/>
  <c r="K87" i="33" s="1"/>
  <c r="L87" i="33" s="1"/>
  <c r="M87" i="33" s="1"/>
  <c r="G85" i="33"/>
  <c r="G81" i="33"/>
  <c r="G79" i="33"/>
  <c r="W17" i="33"/>
  <c r="U10" i="33"/>
  <c r="W10" i="33"/>
  <c r="AC37" i="21"/>
  <c r="U33" i="21"/>
  <c r="S37" i="21"/>
  <c r="AA23" i="21"/>
  <c r="AB15" i="21"/>
  <c r="J23" i="21"/>
  <c r="AC23" i="21" s="1"/>
  <c r="F85" i="21"/>
  <c r="G85" i="21"/>
  <c r="H23" i="21"/>
  <c r="S13" i="21"/>
  <c r="D6" i="52"/>
  <c r="D121" i="9"/>
  <c r="D7" i="52" s="1"/>
  <c r="B64" i="72"/>
  <c r="O14" i="1"/>
  <c r="P14" i="1"/>
  <c r="BL5" i="3"/>
  <c r="P21" i="43"/>
  <c r="C48" i="11"/>
  <c r="C30" i="11"/>
  <c r="O19" i="43"/>
  <c r="P22" i="43"/>
  <c r="P25" i="43"/>
  <c r="C5" i="43"/>
  <c r="E52" i="37"/>
  <c r="E48" i="35"/>
  <c r="F48" i="35"/>
  <c r="E59" i="34"/>
  <c r="C65" i="40"/>
  <c r="D63" i="40"/>
  <c r="L27" i="6"/>
  <c r="AP7" i="1"/>
  <c r="O7" i="1"/>
  <c r="O16" i="1" s="1"/>
  <c r="AB45" i="21"/>
  <c r="AC33" i="21"/>
  <c r="W33" i="21"/>
  <c r="S33" i="21"/>
  <c r="AA33" i="21"/>
  <c r="W32" i="21"/>
  <c r="AC32" i="21"/>
  <c r="AB9" i="21"/>
  <c r="U9" i="21"/>
  <c r="AA32" i="21"/>
  <c r="S32" i="21"/>
  <c r="W9" i="21"/>
  <c r="AC9" i="21"/>
  <c r="AB32" i="21"/>
  <c r="U32" i="21"/>
  <c r="AA10" i="21"/>
  <c r="S10" i="21"/>
  <c r="S8" i="1"/>
  <c r="T8" i="1" s="1"/>
  <c r="D3" i="33"/>
  <c r="U32" i="39"/>
  <c r="AB32" i="39"/>
  <c r="AC32" i="39"/>
  <c r="W32" i="39"/>
  <c r="W19" i="37"/>
  <c r="AC19" i="37"/>
  <c r="W23" i="37"/>
  <c r="AC23" i="37"/>
  <c r="AB11" i="37"/>
  <c r="U11" i="37"/>
  <c r="H63" i="37"/>
  <c r="I63" i="37"/>
  <c r="J63" i="37" s="1"/>
  <c r="K63" i="37" s="1"/>
  <c r="L63" i="37" s="1"/>
  <c r="M63" i="37" s="1"/>
  <c r="J11" i="37"/>
  <c r="W10" i="37"/>
  <c r="AC10" i="37"/>
  <c r="U11" i="34"/>
  <c r="AB11" i="34"/>
  <c r="AC10" i="34"/>
  <c r="H70" i="34"/>
  <c r="I70" i="34" s="1"/>
  <c r="J70" i="34"/>
  <c r="K70" i="34" s="1"/>
  <c r="L70" i="34" s="1"/>
  <c r="M70" i="34" s="1"/>
  <c r="J11" i="34"/>
  <c r="AC11" i="34" s="1"/>
  <c r="W25" i="33"/>
  <c r="U19" i="33"/>
  <c r="S17" i="33"/>
  <c r="U17" i="33"/>
  <c r="U23" i="21"/>
  <c r="AB23" i="21"/>
  <c r="W23" i="21"/>
  <c r="C32" i="15"/>
  <c r="L18" i="9"/>
  <c r="P7" i="1"/>
  <c r="E63" i="40"/>
  <c r="D65" i="40"/>
  <c r="G39" i="43"/>
  <c r="I39" i="43" s="1"/>
  <c r="C5" i="68"/>
  <c r="C32" i="67"/>
  <c r="AR8" i="1"/>
  <c r="AQ8" i="1"/>
  <c r="AC11" i="37"/>
  <c r="W11" i="37"/>
  <c r="M19" i="9"/>
  <c r="C118" i="9" s="1"/>
  <c r="L19" i="9"/>
  <c r="F34" i="11"/>
  <c r="F11" i="12"/>
  <c r="C23" i="12" s="1"/>
  <c r="F34" i="68"/>
  <c r="F63" i="40"/>
  <c r="G63" i="40" s="1"/>
  <c r="H63" i="40" s="1"/>
  <c r="I63" i="40" s="1"/>
  <c r="J63" i="40" s="1"/>
  <c r="J65" i="40" s="1"/>
  <c r="E65" i="40"/>
  <c r="R8" i="1"/>
  <c r="C62" i="67"/>
  <c r="C34" i="67"/>
  <c r="C62" i="15"/>
  <c r="C34" i="15"/>
  <c r="H65" i="40"/>
  <c r="I65" i="40"/>
  <c r="K63" i="40"/>
  <c r="L63" i="40" s="1"/>
  <c r="L65" i="40" s="1"/>
  <c r="C33" i="67"/>
  <c r="C61" i="67"/>
  <c r="C60" i="67"/>
  <c r="C61" i="15"/>
  <c r="C33" i="15"/>
  <c r="AE8" i="1"/>
  <c r="C60" i="15"/>
  <c r="H109" i="9"/>
  <c r="D124" i="9"/>
  <c r="H14" i="74" s="1"/>
  <c r="B7" i="74" s="1"/>
  <c r="H112" i="9"/>
  <c r="D21" i="53" s="1"/>
  <c r="B39" i="72" s="1"/>
  <c r="H111" i="9"/>
  <c r="D126" i="9" s="1"/>
  <c r="D59" i="9"/>
  <c r="M55" i="9"/>
  <c r="F6" i="73"/>
  <c r="E13" i="76"/>
  <c r="F36" i="15"/>
  <c r="M24" i="67"/>
  <c r="F43" i="67"/>
  <c r="E10" i="76"/>
  <c r="D2" i="35"/>
  <c r="D2" i="82"/>
  <c r="M21" i="67"/>
  <c r="M8" i="67"/>
  <c r="F9" i="67"/>
  <c r="F41" i="67"/>
  <c r="M29" i="67"/>
  <c r="B10" i="76"/>
  <c r="E7" i="76"/>
  <c r="D2" i="21"/>
  <c r="F6" i="67"/>
  <c r="F13" i="67"/>
  <c r="F38" i="15"/>
  <c r="M22" i="15"/>
  <c r="F37" i="15"/>
  <c r="B8" i="76"/>
  <c r="AO9" i="1"/>
  <c r="E9" i="76"/>
  <c r="M22" i="67"/>
  <c r="F42" i="67"/>
  <c r="F36" i="67"/>
  <c r="F40" i="15"/>
  <c r="E2" i="69"/>
  <c r="C76" i="15"/>
  <c r="E12" i="76"/>
  <c r="M23" i="67"/>
  <c r="L47" i="15"/>
  <c r="AO13" i="1"/>
  <c r="D5" i="73"/>
  <c r="D6" i="73"/>
  <c r="M6" i="67"/>
  <c r="F16" i="15"/>
  <c r="B12" i="76"/>
  <c r="F13" i="15"/>
  <c r="M8" i="15"/>
  <c r="F9" i="15"/>
  <c r="F5" i="73"/>
  <c r="B9" i="76"/>
  <c r="AO12" i="1"/>
  <c r="F38" i="67"/>
  <c r="D4" i="73"/>
  <c r="J15" i="15"/>
  <c r="E8" i="76"/>
  <c r="M28" i="15"/>
  <c r="B11" i="76"/>
  <c r="F35" i="67"/>
  <c r="F26" i="15"/>
  <c r="F3" i="73"/>
  <c r="AO10" i="1"/>
  <c r="F7" i="67"/>
  <c r="M26" i="67"/>
  <c r="F40" i="67"/>
  <c r="D7" i="73"/>
  <c r="M28" i="67"/>
  <c r="F26" i="67"/>
  <c r="E2" i="68"/>
  <c r="M9" i="67"/>
  <c r="M23" i="15"/>
  <c r="J15" i="67"/>
  <c r="M24" i="15"/>
  <c r="B7" i="76"/>
  <c r="D2" i="33"/>
  <c r="F8" i="15"/>
  <c r="M26" i="15"/>
  <c r="F16" i="67"/>
  <c r="F7" i="73"/>
  <c r="D3" i="73"/>
  <c r="AO8" i="1"/>
  <c r="M27" i="67"/>
  <c r="C76" i="67"/>
  <c r="D2" i="37"/>
  <c r="F41" i="15"/>
  <c r="L48" i="15"/>
  <c r="D2" i="36"/>
  <c r="B13" i="76"/>
  <c r="F42" i="15"/>
  <c r="F7" i="15"/>
  <c r="F8" i="67"/>
  <c r="D2" i="34"/>
  <c r="L47" i="67"/>
  <c r="M9" i="15"/>
  <c r="F4" i="73"/>
  <c r="AO11" i="1"/>
  <c r="F37" i="67"/>
  <c r="E11" i="76"/>
  <c r="AA17" i="82" l="1"/>
  <c r="S17" i="82"/>
  <c r="U17" i="82"/>
  <c r="W15" i="82"/>
  <c r="F111" i="33"/>
  <c r="H36" i="33"/>
  <c r="F36" i="33"/>
  <c r="C36" i="69"/>
  <c r="P16" i="1"/>
  <c r="C11" i="12" s="1"/>
  <c r="C15" i="12" s="1"/>
  <c r="D9" i="68"/>
  <c r="C9" i="68" s="1"/>
  <c r="AR11" i="1"/>
  <c r="D19" i="12"/>
  <c r="C19" i="12" s="1"/>
  <c r="T11" i="1"/>
  <c r="I14" i="74"/>
  <c r="B8" i="74" s="1"/>
  <c r="D127" i="9"/>
  <c r="D13" i="52" s="1"/>
  <c r="D12" i="52"/>
  <c r="D19" i="53"/>
  <c r="D10" i="52"/>
  <c r="D125" i="9"/>
  <c r="D11" i="52" s="1"/>
  <c r="H110" i="9"/>
  <c r="D18" i="53" s="1"/>
  <c r="B35" i="72" s="1"/>
  <c r="D16" i="53"/>
  <c r="G48" i="35"/>
  <c r="D58" i="21"/>
  <c r="M63" i="40"/>
  <c r="K65" i="40"/>
  <c r="G65" i="40"/>
  <c r="F65" i="40"/>
  <c r="W11" i="34"/>
  <c r="F59" i="34"/>
  <c r="F52" i="37"/>
  <c r="E46" i="36"/>
  <c r="D58" i="33"/>
  <c r="E58" i="33" s="1"/>
  <c r="F58" i="33" s="1"/>
  <c r="G58" i="33" s="1"/>
  <c r="H58" i="33" s="1"/>
  <c r="I58" i="33" s="1"/>
  <c r="J58" i="33" s="1"/>
  <c r="K58" i="33" s="1"/>
  <c r="L58" i="33" s="1"/>
  <c r="M58" i="33" s="1"/>
  <c r="N58" i="33" s="1"/>
  <c r="O58" i="33" s="1"/>
  <c r="H7" i="33"/>
  <c r="C70" i="39"/>
  <c r="D68" i="39"/>
  <c r="E29" i="6"/>
  <c r="K15" i="1" s="1"/>
  <c r="F30" i="6"/>
  <c r="W17" i="21"/>
  <c r="F32" i="33"/>
  <c r="H32" i="33"/>
  <c r="U12" i="37"/>
  <c r="AA14" i="37"/>
  <c r="S38" i="40"/>
  <c r="AA38" i="40"/>
  <c r="J32" i="33"/>
  <c r="AC9" i="34"/>
  <c r="W9" i="34"/>
  <c r="AC34" i="35"/>
  <c r="W34" i="35"/>
  <c r="AB14" i="37"/>
  <c r="U14" i="37"/>
  <c r="F15" i="33"/>
  <c r="J15" i="33"/>
  <c r="H15" i="33"/>
  <c r="F27" i="33"/>
  <c r="J27" i="33"/>
  <c r="H27" i="33"/>
  <c r="F34" i="33"/>
  <c r="H34" i="33"/>
  <c r="J34" i="33"/>
  <c r="H42" i="33"/>
  <c r="F42" i="33"/>
  <c r="J42" i="33"/>
  <c r="H9" i="34"/>
  <c r="F34" i="35"/>
  <c r="H34" i="35"/>
  <c r="J36" i="35"/>
  <c r="J23" i="33"/>
  <c r="F23" i="33"/>
  <c r="H23" i="33"/>
  <c r="F28" i="33"/>
  <c r="H28" i="33"/>
  <c r="J28" i="33"/>
  <c r="F38" i="33"/>
  <c r="H38" i="33"/>
  <c r="J38" i="33"/>
  <c r="H39" i="33"/>
  <c r="F39" i="33"/>
  <c r="J39" i="33"/>
  <c r="F43" i="33"/>
  <c r="H43" i="33"/>
  <c r="J43" i="33"/>
  <c r="H26" i="33"/>
  <c r="F26" i="33"/>
  <c r="J26" i="33"/>
  <c r="H12" i="36"/>
  <c r="H24" i="36"/>
  <c r="H38" i="40"/>
  <c r="J38" i="40"/>
  <c r="H39" i="40"/>
  <c r="F8" i="1"/>
  <c r="D23" i="67"/>
  <c r="S18" i="35"/>
  <c r="C29" i="39"/>
  <c r="B66" i="43"/>
  <c r="BA548" i="3"/>
  <c r="AZ548" i="3" s="1"/>
  <c r="BA544" i="3"/>
  <c r="AZ544" i="3" s="1"/>
  <c r="BA540" i="3"/>
  <c r="AZ540" i="3" s="1"/>
  <c r="BA536" i="3"/>
  <c r="AZ536" i="3" s="1"/>
  <c r="BA532" i="3"/>
  <c r="AZ532" i="3" s="1"/>
  <c r="BA528" i="3"/>
  <c r="AZ528" i="3" s="1"/>
  <c r="BA524" i="3"/>
  <c r="AZ524" i="3" s="1"/>
  <c r="BA520" i="3"/>
  <c r="AZ520" i="3" s="1"/>
  <c r="BA516" i="3"/>
  <c r="AZ516" i="3" s="1"/>
  <c r="BA512" i="3"/>
  <c r="AZ512" i="3" s="1"/>
  <c r="BA508" i="3"/>
  <c r="AZ508" i="3" s="1"/>
  <c r="BA504" i="3"/>
  <c r="AZ504" i="3" s="1"/>
  <c r="BA500" i="3"/>
  <c r="AZ500" i="3" s="1"/>
  <c r="BA496" i="3"/>
  <c r="AZ496" i="3" s="1"/>
  <c r="BA492" i="3"/>
  <c r="AZ492" i="3" s="1"/>
  <c r="BA488" i="3"/>
  <c r="AZ488" i="3" s="1"/>
  <c r="BA484" i="3"/>
  <c r="AZ484" i="3" s="1"/>
  <c r="BA480" i="3"/>
  <c r="AZ480" i="3" s="1"/>
  <c r="BA476" i="3"/>
  <c r="AZ476" i="3" s="1"/>
  <c r="BA472" i="3"/>
  <c r="AZ472" i="3" s="1"/>
  <c r="BA468" i="3"/>
  <c r="AZ468" i="3" s="1"/>
  <c r="BA464" i="3"/>
  <c r="AZ464" i="3" s="1"/>
  <c r="BA460" i="3"/>
  <c r="AZ460" i="3" s="1"/>
  <c r="BA456" i="3"/>
  <c r="AZ456" i="3" s="1"/>
  <c r="BA452" i="3"/>
  <c r="AZ452" i="3" s="1"/>
  <c r="BA448" i="3"/>
  <c r="AZ448" i="3" s="1"/>
  <c r="BA444" i="3"/>
  <c r="AZ444" i="3" s="1"/>
  <c r="BA440" i="3"/>
  <c r="AZ440" i="3" s="1"/>
  <c r="BA436" i="3"/>
  <c r="AZ436" i="3" s="1"/>
  <c r="BA432" i="3"/>
  <c r="AZ432" i="3" s="1"/>
  <c r="BA428" i="3"/>
  <c r="AZ428" i="3" s="1"/>
  <c r="BA424" i="3"/>
  <c r="AZ424" i="3" s="1"/>
  <c r="BA420" i="3"/>
  <c r="AZ420" i="3" s="1"/>
  <c r="BA416" i="3"/>
  <c r="AZ416" i="3" s="1"/>
  <c r="BA412" i="3"/>
  <c r="AZ412" i="3" s="1"/>
  <c r="G28" i="6"/>
  <c r="G30" i="6" s="1"/>
  <c r="C15" i="71"/>
  <c r="D14" i="71"/>
  <c r="BA546" i="3"/>
  <c r="AZ546" i="3" s="1"/>
  <c r="BA542" i="3"/>
  <c r="AZ542" i="3" s="1"/>
  <c r="BA538" i="3"/>
  <c r="AZ538" i="3" s="1"/>
  <c r="BA534" i="3"/>
  <c r="AZ534" i="3" s="1"/>
  <c r="BA530" i="3"/>
  <c r="AZ530" i="3" s="1"/>
  <c r="BA526" i="3"/>
  <c r="AZ526" i="3" s="1"/>
  <c r="BA522" i="3"/>
  <c r="AZ522" i="3" s="1"/>
  <c r="BA518" i="3"/>
  <c r="AZ518" i="3" s="1"/>
  <c r="BA514" i="3"/>
  <c r="AZ514" i="3" s="1"/>
  <c r="BA510" i="3"/>
  <c r="AZ510" i="3" s="1"/>
  <c r="BA506" i="3"/>
  <c r="AZ506" i="3" s="1"/>
  <c r="BA502" i="3"/>
  <c r="AZ502" i="3" s="1"/>
  <c r="BA498" i="3"/>
  <c r="AZ498" i="3" s="1"/>
  <c r="BA494" i="3"/>
  <c r="AZ494" i="3" s="1"/>
  <c r="BA490" i="3"/>
  <c r="AZ490" i="3" s="1"/>
  <c r="BA486" i="3"/>
  <c r="AZ486" i="3" s="1"/>
  <c r="BA482" i="3"/>
  <c r="AZ482" i="3" s="1"/>
  <c r="BA478" i="3"/>
  <c r="AZ478" i="3" s="1"/>
  <c r="BA474" i="3"/>
  <c r="AZ474" i="3" s="1"/>
  <c r="BA470" i="3"/>
  <c r="AZ470" i="3" s="1"/>
  <c r="BA466" i="3"/>
  <c r="AZ466" i="3" s="1"/>
  <c r="BA462" i="3"/>
  <c r="AZ462" i="3" s="1"/>
  <c r="BA458" i="3"/>
  <c r="AZ458" i="3" s="1"/>
  <c r="BA454" i="3"/>
  <c r="AZ454" i="3" s="1"/>
  <c r="BA450" i="3"/>
  <c r="AZ450" i="3" s="1"/>
  <c r="BA446" i="3"/>
  <c r="AZ446" i="3" s="1"/>
  <c r="BA442" i="3"/>
  <c r="AZ442" i="3" s="1"/>
  <c r="BA438" i="3"/>
  <c r="AZ438" i="3" s="1"/>
  <c r="BA434" i="3"/>
  <c r="AZ434" i="3" s="1"/>
  <c r="BA430" i="3"/>
  <c r="AZ430" i="3" s="1"/>
  <c r="BA426" i="3"/>
  <c r="AZ426" i="3" s="1"/>
  <c r="BA422" i="3"/>
  <c r="AZ422" i="3" s="1"/>
  <c r="BA418" i="3"/>
  <c r="AZ418" i="3" s="1"/>
  <c r="BA414" i="3"/>
  <c r="AZ414" i="3" s="1"/>
  <c r="E28" i="6"/>
  <c r="V7" i="71"/>
  <c r="AB7" i="71"/>
  <c r="AB5" i="71"/>
  <c r="D13" i="71"/>
  <c r="X3" i="71"/>
  <c r="X5" i="71"/>
  <c r="Y7" i="71"/>
  <c r="Z7" i="71" s="1"/>
  <c r="Y6" i="71"/>
  <c r="Z6" i="71" s="1"/>
  <c r="Y5" i="71"/>
  <c r="Z5" i="71" s="1"/>
  <c r="Y4" i="71"/>
  <c r="Z4" i="71" s="1"/>
  <c r="Y3" i="71"/>
  <c r="Z3" i="71" s="1"/>
  <c r="AA11" i="71"/>
  <c r="AB8" i="71"/>
  <c r="X8" i="71"/>
  <c r="E9" i="71"/>
  <c r="AA8" i="71"/>
  <c r="X9" i="71"/>
  <c r="AB9" i="71"/>
  <c r="C7" i="82"/>
  <c r="C58" i="82" s="1"/>
  <c r="C42" i="1"/>
  <c r="J51" i="79"/>
  <c r="G15" i="3"/>
  <c r="BA15" i="3"/>
  <c r="AZ15" i="3" s="1"/>
  <c r="C28" i="79"/>
  <c r="I14" i="3"/>
  <c r="BB13" i="3"/>
  <c r="H13" i="3"/>
  <c r="B46" i="71"/>
  <c r="AH10" i="43"/>
  <c r="AD10" i="43"/>
  <c r="Z10" i="43"/>
  <c r="AG10" i="43"/>
  <c r="AC10" i="43"/>
  <c r="G20" i="6"/>
  <c r="G27" i="6" s="1"/>
  <c r="G31" i="6" s="1"/>
  <c r="BC14" i="3"/>
  <c r="F25" i="33"/>
  <c r="C4" i="77"/>
  <c r="C13" i="78"/>
  <c r="G1" i="79"/>
  <c r="BC13" i="3"/>
  <c r="E19" i="6"/>
  <c r="AB45" i="82"/>
  <c r="U45" i="82"/>
  <c r="AB43" i="82"/>
  <c r="U43" i="82"/>
  <c r="AB41" i="82"/>
  <c r="U41" i="82"/>
  <c r="AB39" i="82"/>
  <c r="U39" i="82"/>
  <c r="AB37" i="82"/>
  <c r="U37" i="82"/>
  <c r="AB35" i="82"/>
  <c r="U35" i="82"/>
  <c r="AB33" i="82"/>
  <c r="U33" i="82"/>
  <c r="AB31" i="82"/>
  <c r="U31" i="82"/>
  <c r="AA46" i="82"/>
  <c r="S46" i="82"/>
  <c r="AA44" i="82"/>
  <c r="S44" i="82"/>
  <c r="AA42" i="82"/>
  <c r="S42" i="82"/>
  <c r="AA40" i="82"/>
  <c r="S40" i="82"/>
  <c r="AA38" i="82"/>
  <c r="S38" i="82"/>
  <c r="AA36" i="82"/>
  <c r="S36" i="82"/>
  <c r="AA34" i="82"/>
  <c r="S34" i="82"/>
  <c r="AA32" i="82"/>
  <c r="S32" i="82"/>
  <c r="AA30" i="82"/>
  <c r="S30" i="82"/>
  <c r="AC46" i="82"/>
  <c r="W46" i="82"/>
  <c r="AC44" i="82"/>
  <c r="W44" i="82"/>
  <c r="AC42" i="82"/>
  <c r="W42" i="82"/>
  <c r="AC40" i="82"/>
  <c r="W40" i="82"/>
  <c r="AC38" i="82"/>
  <c r="W38" i="82"/>
  <c r="AC36" i="82"/>
  <c r="W36" i="82"/>
  <c r="AC34" i="82"/>
  <c r="W34" i="82"/>
  <c r="AC32" i="82"/>
  <c r="W32" i="82"/>
  <c r="AC30" i="82"/>
  <c r="W30" i="82"/>
  <c r="H25" i="82"/>
  <c r="F25" i="82"/>
  <c r="J25" i="82"/>
  <c r="H15" i="82"/>
  <c r="C5" i="77"/>
  <c r="C6" i="77" s="1"/>
  <c r="C7" i="77" s="1"/>
  <c r="E11" i="49"/>
  <c r="B8" i="49"/>
  <c r="B6" i="49"/>
  <c r="E9" i="49"/>
  <c r="E21" i="49"/>
  <c r="B11" i="49"/>
  <c r="B13" i="49"/>
  <c r="E6" i="49"/>
  <c r="E7" i="49"/>
  <c r="B7" i="49"/>
  <c r="B22" i="49"/>
  <c r="B16" i="49"/>
  <c r="C4" i="4" s="1"/>
  <c r="J20" i="67"/>
  <c r="F69" i="67"/>
  <c r="F63" i="67"/>
  <c r="F68" i="67"/>
  <c r="F51" i="67"/>
  <c r="F65" i="67"/>
  <c r="C27" i="67"/>
  <c r="F50" i="67"/>
  <c r="M7" i="67"/>
  <c r="C6" i="67"/>
  <c r="F64" i="67"/>
  <c r="E20" i="43"/>
  <c r="F70" i="67"/>
  <c r="L59" i="67"/>
  <c r="L59" i="15"/>
  <c r="L58" i="15"/>
  <c r="F71" i="67"/>
  <c r="Q71" i="15"/>
  <c r="Q71" i="67"/>
  <c r="F66" i="67"/>
  <c r="J53" i="15"/>
  <c r="J60" i="15"/>
  <c r="Q48" i="15" s="1"/>
  <c r="K53" i="15"/>
  <c r="J57" i="15"/>
  <c r="J55" i="15" s="1"/>
  <c r="J58" i="15" s="1"/>
  <c r="Q50" i="15" s="1"/>
  <c r="L56" i="15"/>
  <c r="L60" i="15"/>
  <c r="J59" i="15"/>
  <c r="L57" i="15"/>
  <c r="F68" i="15"/>
  <c r="C27" i="15"/>
  <c r="I1" i="73"/>
  <c r="B39" i="1" s="1"/>
  <c r="F51" i="15"/>
  <c r="B13" i="70"/>
  <c r="B12" i="70"/>
  <c r="B11" i="70"/>
  <c r="B10" i="70"/>
  <c r="B9" i="70"/>
  <c r="B8" i="70"/>
  <c r="F69" i="15"/>
  <c r="F66" i="15"/>
  <c r="F65" i="15"/>
  <c r="F64" i="15"/>
  <c r="M7" i="15"/>
  <c r="F50" i="15"/>
  <c r="G1" i="73"/>
  <c r="M17" i="67"/>
  <c r="C16" i="67"/>
  <c r="F31" i="67"/>
  <c r="C17" i="67"/>
  <c r="L48" i="67"/>
  <c r="C14" i="67"/>
  <c r="F59" i="67"/>
  <c r="B40" i="1" l="1"/>
  <c r="F24" i="15" s="1"/>
  <c r="C24" i="15" s="1"/>
  <c r="AB36" i="33"/>
  <c r="U36" i="33"/>
  <c r="AA36" i="33"/>
  <c r="S36" i="33"/>
  <c r="J36" i="33"/>
  <c r="G111" i="33"/>
  <c r="H111" i="33" s="1"/>
  <c r="I111" i="33" s="1"/>
  <c r="J111" i="33" s="1"/>
  <c r="K111" i="33" s="1"/>
  <c r="L111" i="33" s="1"/>
  <c r="M111" i="33" s="1"/>
  <c r="C12" i="12"/>
  <c r="BC5" i="3"/>
  <c r="L58" i="67"/>
  <c r="Q60" i="67" s="1"/>
  <c r="K53" i="67"/>
  <c r="J53" i="67"/>
  <c r="F1" i="67" s="1"/>
  <c r="J60" i="67"/>
  <c r="Q48" i="67" s="1"/>
  <c r="L56" i="67"/>
  <c r="J57" i="67"/>
  <c r="J55" i="67" s="1"/>
  <c r="J58" i="67" s="1"/>
  <c r="Q50" i="67" s="1"/>
  <c r="J59" i="67"/>
  <c r="AB25" i="82"/>
  <c r="U25" i="82"/>
  <c r="AA25" i="33"/>
  <c r="S25" i="33"/>
  <c r="B45" i="71"/>
  <c r="N46" i="71"/>
  <c r="C28" i="67"/>
  <c r="C28" i="15"/>
  <c r="C30" i="68"/>
  <c r="C77" i="9"/>
  <c r="C30" i="69"/>
  <c r="C24" i="12"/>
  <c r="C48" i="68"/>
  <c r="C74" i="9"/>
  <c r="C13" i="12"/>
  <c r="C36" i="68"/>
  <c r="AB15" i="82"/>
  <c r="U15" i="82"/>
  <c r="AA25" i="82"/>
  <c r="S25" i="82"/>
  <c r="K6" i="1"/>
  <c r="G13" i="3"/>
  <c r="H5" i="3"/>
  <c r="BB14" i="3"/>
  <c r="BA14" i="3" s="1"/>
  <c r="AZ14" i="3" s="1"/>
  <c r="F20" i="6"/>
  <c r="E20" i="6" s="1"/>
  <c r="H14" i="3"/>
  <c r="G14" i="3" s="1"/>
  <c r="I5" i="3"/>
  <c r="D58" i="82"/>
  <c r="E58" i="82" s="1"/>
  <c r="F58" i="82" s="1"/>
  <c r="G58" i="82" s="1"/>
  <c r="H58" i="82" s="1"/>
  <c r="I58" i="82" s="1"/>
  <c r="J58" i="82" s="1"/>
  <c r="K58" i="82" s="1"/>
  <c r="L58" i="82" s="1"/>
  <c r="M58" i="82" s="1"/>
  <c r="N58" i="82" s="1"/>
  <c r="O58" i="82" s="1"/>
  <c r="J7" i="82"/>
  <c r="F7" i="82"/>
  <c r="H7" i="82"/>
  <c r="E10" i="71"/>
  <c r="E11" i="71" s="1"/>
  <c r="U11" i="71" s="1"/>
  <c r="AC38" i="40"/>
  <c r="W38" i="40"/>
  <c r="AB24" i="36"/>
  <c r="U24" i="36"/>
  <c r="AC26" i="33"/>
  <c r="W26" i="33"/>
  <c r="AB26" i="33"/>
  <c r="U26" i="33"/>
  <c r="AB43" i="33"/>
  <c r="U43" i="33"/>
  <c r="AC39" i="33"/>
  <c r="W39" i="33"/>
  <c r="AB39" i="33"/>
  <c r="U39" i="33"/>
  <c r="AB38" i="33"/>
  <c r="U38" i="33"/>
  <c r="AC28" i="33"/>
  <c r="W28" i="33"/>
  <c r="AA28" i="33"/>
  <c r="S28" i="33"/>
  <c r="AA23" i="33"/>
  <c r="S23" i="33"/>
  <c r="AC36" i="35"/>
  <c r="W36" i="35"/>
  <c r="AA34" i="35"/>
  <c r="S34" i="35"/>
  <c r="AC42" i="33"/>
  <c r="W42" i="33"/>
  <c r="AB42" i="33"/>
  <c r="U42" i="33"/>
  <c r="AB34" i="33"/>
  <c r="U34" i="33"/>
  <c r="AB27" i="33"/>
  <c r="U27" i="33"/>
  <c r="AA27" i="33"/>
  <c r="S27" i="33"/>
  <c r="AC15" i="33"/>
  <c r="W15" i="33"/>
  <c r="AC32" i="33"/>
  <c r="W32" i="33"/>
  <c r="AA32" i="33"/>
  <c r="S32" i="33"/>
  <c r="D70" i="39"/>
  <c r="E68" i="39"/>
  <c r="J7" i="33"/>
  <c r="F7" i="33"/>
  <c r="F46" i="36"/>
  <c r="G52" i="37"/>
  <c r="E58" i="21"/>
  <c r="B38" i="72"/>
  <c r="D20" i="53"/>
  <c r="B40" i="72" s="1"/>
  <c r="AC25" i="82"/>
  <c r="W25" i="82"/>
  <c r="C9" i="77"/>
  <c r="BB5" i="3"/>
  <c r="BA13" i="3"/>
  <c r="E30" i="6"/>
  <c r="K14" i="1"/>
  <c r="M14" i="1" s="1"/>
  <c r="D15" i="71"/>
  <c r="M20" i="43" s="1"/>
  <c r="C19" i="43" s="1"/>
  <c r="T15" i="71"/>
  <c r="G8" i="1"/>
  <c r="AB39" i="40"/>
  <c r="U39" i="40"/>
  <c r="U38" i="40"/>
  <c r="AB38" i="40"/>
  <c r="AB12" i="36"/>
  <c r="U12" i="36"/>
  <c r="AA26" i="33"/>
  <c r="S26" i="33"/>
  <c r="AC43" i="33"/>
  <c r="W43" i="33"/>
  <c r="AA43" i="33"/>
  <c r="S43" i="33"/>
  <c r="AA39" i="33"/>
  <c r="S39" i="33"/>
  <c r="AC38" i="33"/>
  <c r="W38" i="33"/>
  <c r="AA38" i="33"/>
  <c r="S38" i="33"/>
  <c r="AB28" i="33"/>
  <c r="U28" i="33"/>
  <c r="AB23" i="33"/>
  <c r="U23" i="33"/>
  <c r="AC23" i="33"/>
  <c r="W23" i="33"/>
  <c r="AB34" i="35"/>
  <c r="U34" i="35"/>
  <c r="U9" i="34"/>
  <c r="AB9" i="34"/>
  <c r="AA42" i="33"/>
  <c r="S42" i="33"/>
  <c r="AC34" i="33"/>
  <c r="W34" i="33"/>
  <c r="AA34" i="33"/>
  <c r="S34" i="33"/>
  <c r="AC27" i="33"/>
  <c r="W27" i="33"/>
  <c r="AB15" i="33"/>
  <c r="U15" i="33"/>
  <c r="AA15" i="33"/>
  <c r="S15" i="33"/>
  <c r="AB32" i="33"/>
  <c r="U32" i="33"/>
  <c r="U7" i="33"/>
  <c r="AB7" i="33"/>
  <c r="C48" i="69"/>
  <c r="G59" i="34"/>
  <c r="C36" i="11"/>
  <c r="M65" i="40"/>
  <c r="N63" i="40"/>
  <c r="C31" i="12"/>
  <c r="H48" i="35"/>
  <c r="I48" i="35" s="1"/>
  <c r="J48" i="35" s="1"/>
  <c r="K48" i="35" s="1"/>
  <c r="L48" i="35" s="1"/>
  <c r="M48" i="35" s="1"/>
  <c r="N48" i="35" s="1"/>
  <c r="O48" i="35" s="1"/>
  <c r="H7" i="35"/>
  <c r="F7" i="35"/>
  <c r="D17" i="53"/>
  <c r="B36" i="72" s="1"/>
  <c r="B34" i="72"/>
  <c r="C49" i="67"/>
  <c r="B4" i="62"/>
  <c r="B71" i="72" s="1"/>
  <c r="K4" i="4"/>
  <c r="B46" i="48" s="1"/>
  <c r="B4" i="72" s="1"/>
  <c r="C15" i="67"/>
  <c r="C18" i="67"/>
  <c r="Q57" i="15"/>
  <c r="Q66" i="15"/>
  <c r="F1" i="15"/>
  <c r="Q52" i="15"/>
  <c r="Q52" i="67"/>
  <c r="Q73" i="15"/>
  <c r="Q60" i="15"/>
  <c r="Q73" i="67"/>
  <c r="O17" i="43"/>
  <c r="P17" i="43"/>
  <c r="N17" i="43"/>
  <c r="M17" i="43"/>
  <c r="F11" i="15"/>
  <c r="M11" i="79"/>
  <c r="M11" i="15"/>
  <c r="F11" i="79"/>
  <c r="F11" i="67"/>
  <c r="M11" i="67"/>
  <c r="J10" i="67" s="1"/>
  <c r="L46" i="15"/>
  <c r="Q74" i="15"/>
  <c r="Q61" i="15"/>
  <c r="Q61" i="67"/>
  <c r="Q74" i="67"/>
  <c r="J6" i="67"/>
  <c r="F8" i="79"/>
  <c r="L48" i="79"/>
  <c r="F43" i="15"/>
  <c r="F26" i="79"/>
  <c r="C76" i="79"/>
  <c r="M6" i="79"/>
  <c r="M8" i="79"/>
  <c r="J15" i="79"/>
  <c r="M24" i="79"/>
  <c r="F13" i="79"/>
  <c r="M23" i="79"/>
  <c r="F16" i="79"/>
  <c r="M27" i="79"/>
  <c r="M26" i="79"/>
  <c r="M9" i="79"/>
  <c r="M28" i="79"/>
  <c r="AE6" i="1"/>
  <c r="F7" i="79"/>
  <c r="F38" i="79"/>
  <c r="F40" i="79"/>
  <c r="F9" i="79"/>
  <c r="M22" i="79"/>
  <c r="L47" i="79"/>
  <c r="M29" i="15"/>
  <c r="F36" i="79"/>
  <c r="F42" i="79"/>
  <c r="F37" i="79"/>
  <c r="F6" i="15"/>
  <c r="F22" i="68" l="1"/>
  <c r="C26" i="68" s="1"/>
  <c r="D22" i="68" s="1"/>
  <c r="F22" i="11"/>
  <c r="F24" i="67"/>
  <c r="C24" i="67" s="1"/>
  <c r="F24" i="79"/>
  <c r="C24" i="79" s="1"/>
  <c r="F25" i="12"/>
  <c r="C26" i="12" s="1"/>
  <c r="D25" i="12" s="1"/>
  <c r="F22" i="69"/>
  <c r="AC36" i="33"/>
  <c r="W36" i="33"/>
  <c r="T48" i="33"/>
  <c r="G48" i="33" s="1"/>
  <c r="G52" i="33" s="1"/>
  <c r="H52" i="33" s="1"/>
  <c r="C19" i="67"/>
  <c r="M7" i="79"/>
  <c r="J10" i="79" s="1"/>
  <c r="F50" i="79"/>
  <c r="Q71" i="79"/>
  <c r="F64" i="79"/>
  <c r="C27" i="79"/>
  <c r="F71" i="15"/>
  <c r="L60" i="79"/>
  <c r="J57" i="79"/>
  <c r="J55" i="79" s="1"/>
  <c r="J58" i="79" s="1"/>
  <c r="Q50" i="79" s="1"/>
  <c r="J60" i="79"/>
  <c r="Q48" i="79" s="1"/>
  <c r="J59" i="79"/>
  <c r="L56" i="79"/>
  <c r="L57" i="79"/>
  <c r="J53" i="79"/>
  <c r="K53" i="79"/>
  <c r="F66" i="79"/>
  <c r="F51" i="79"/>
  <c r="C53" i="79" s="1"/>
  <c r="F68" i="79"/>
  <c r="L59" i="79"/>
  <c r="L58" i="79"/>
  <c r="F65" i="79"/>
  <c r="C36" i="43"/>
  <c r="C34" i="43"/>
  <c r="C38" i="43"/>
  <c r="T11" i="43"/>
  <c r="V11" i="43" s="1"/>
  <c r="T16" i="43"/>
  <c r="V16" i="43" s="1"/>
  <c r="T14" i="43"/>
  <c r="V14" i="43" s="1"/>
  <c r="T12" i="43"/>
  <c r="V12" i="43" s="1"/>
  <c r="T9" i="43"/>
  <c r="V9" i="43" s="1"/>
  <c r="T8" i="43"/>
  <c r="V8" i="43" s="1"/>
  <c r="T15" i="43"/>
  <c r="V15" i="43" s="1"/>
  <c r="T13" i="43"/>
  <c r="V13" i="43" s="1"/>
  <c r="T10" i="43"/>
  <c r="V10" i="43" s="1"/>
  <c r="C39" i="43"/>
  <c r="E39" i="43" s="1"/>
  <c r="C37" i="43"/>
  <c r="C33" i="43"/>
  <c r="C35" i="43"/>
  <c r="BA5" i="3"/>
  <c r="E27" i="6" s="1"/>
  <c r="AZ13" i="3"/>
  <c r="AZ5" i="3" s="1"/>
  <c r="S7" i="33"/>
  <c r="AA7" i="33"/>
  <c r="R48" i="33" s="1"/>
  <c r="F68" i="39"/>
  <c r="E70" i="39"/>
  <c r="AB7" i="82"/>
  <c r="T48" i="82" s="1"/>
  <c r="G48" i="82" s="1"/>
  <c r="U7" i="82"/>
  <c r="AC7" i="82"/>
  <c r="V48" i="82" s="1"/>
  <c r="I48" i="82" s="1"/>
  <c r="W7" i="82"/>
  <c r="I4" i="6"/>
  <c r="G3" i="43" s="1"/>
  <c r="K7" i="1"/>
  <c r="G16" i="1" s="1"/>
  <c r="M6" i="1"/>
  <c r="Q16" i="1"/>
  <c r="H16" i="1"/>
  <c r="C34" i="69"/>
  <c r="K16" i="1"/>
  <c r="AB7" i="35"/>
  <c r="T38" i="35" s="1"/>
  <c r="G38" i="35" s="1"/>
  <c r="U7" i="35"/>
  <c r="AA7" i="35"/>
  <c r="R38" i="35" s="1"/>
  <c r="S7" i="35"/>
  <c r="O63" i="40"/>
  <c r="O65" i="40" s="1"/>
  <c r="H7" i="40" s="1"/>
  <c r="N65" i="40"/>
  <c r="F7" i="40" s="1"/>
  <c r="H59" i="34"/>
  <c r="E13" i="6"/>
  <c r="E12" i="6"/>
  <c r="E10" i="6"/>
  <c r="E14" i="6"/>
  <c r="E15" i="6"/>
  <c r="E11" i="6"/>
  <c r="E8" i="6"/>
  <c r="F58" i="21"/>
  <c r="H52" i="37"/>
  <c r="G46" i="36"/>
  <c r="AC7" i="33"/>
  <c r="V48" i="33" s="1"/>
  <c r="I48" i="33" s="1"/>
  <c r="W7" i="33"/>
  <c r="AA7" i="82"/>
  <c r="R48" i="82" s="1"/>
  <c r="S7" i="82"/>
  <c r="G5" i="3"/>
  <c r="B3" i="3" s="1"/>
  <c r="E14" i="3" s="1"/>
  <c r="N45" i="71"/>
  <c r="N44" i="71"/>
  <c r="J7" i="35"/>
  <c r="C6" i="15"/>
  <c r="C10" i="15"/>
  <c r="J5" i="67"/>
  <c r="J18" i="67" s="1"/>
  <c r="AG6" i="1"/>
  <c r="C10" i="67"/>
  <c r="C5" i="67" s="1"/>
  <c r="C53" i="67"/>
  <c r="C48" i="67" s="1"/>
  <c r="C26" i="69"/>
  <c r="D22" i="69" s="1"/>
  <c r="C44" i="69"/>
  <c r="D41" i="69" s="1"/>
  <c r="C23" i="68"/>
  <c r="C44" i="68"/>
  <c r="D41" i="68" s="1"/>
  <c r="C44" i="11"/>
  <c r="D41" i="11" s="1"/>
  <c r="C23" i="11"/>
  <c r="C26" i="11"/>
  <c r="D22" i="11" s="1"/>
  <c r="C20" i="67"/>
  <c r="C26" i="67" s="1"/>
  <c r="M27" i="15"/>
  <c r="M29" i="79"/>
  <c r="F31" i="15"/>
  <c r="F59" i="79"/>
  <c r="M17" i="79"/>
  <c r="C16" i="15"/>
  <c r="F43" i="79"/>
  <c r="L46" i="79" l="1"/>
  <c r="J17" i="67"/>
  <c r="J24" i="67"/>
  <c r="E13" i="3"/>
  <c r="C49" i="79"/>
  <c r="C48" i="79" s="1"/>
  <c r="C59" i="79" s="1"/>
  <c r="F71" i="79"/>
  <c r="AA7" i="40"/>
  <c r="R42" i="40" s="1"/>
  <c r="S7" i="40"/>
  <c r="AB7" i="40"/>
  <c r="T42" i="40" s="1"/>
  <c r="G42" i="40" s="1"/>
  <c r="U7" i="40"/>
  <c r="E60" i="40"/>
  <c r="E65" i="39"/>
  <c r="I59" i="34"/>
  <c r="J59" i="34" s="1"/>
  <c r="K59" i="34" s="1"/>
  <c r="L59" i="34" s="1"/>
  <c r="M59" i="34" s="1"/>
  <c r="N59" i="34" s="1"/>
  <c r="O59" i="34" s="1"/>
  <c r="J7" i="34" s="1"/>
  <c r="H7" i="34"/>
  <c r="R39" i="35"/>
  <c r="E38" i="35"/>
  <c r="G35" i="43"/>
  <c r="I35" i="43" s="1"/>
  <c r="E35" i="43"/>
  <c r="E37" i="43"/>
  <c r="G37" i="43"/>
  <c r="I37" i="43" s="1"/>
  <c r="G34" i="43"/>
  <c r="I34" i="43" s="1"/>
  <c r="E34" i="43"/>
  <c r="Q74" i="79"/>
  <c r="Q61" i="79"/>
  <c r="F1" i="79"/>
  <c r="Q52" i="79"/>
  <c r="Q66" i="79"/>
  <c r="Q57" i="79"/>
  <c r="AC7" i="35"/>
  <c r="V38" i="35" s="1"/>
  <c r="I38" i="35" s="1"/>
  <c r="W7" i="35"/>
  <c r="R49" i="82"/>
  <c r="E48" i="82"/>
  <c r="I52" i="33"/>
  <c r="J52" i="33" s="1"/>
  <c r="I52" i="37"/>
  <c r="F27" i="6"/>
  <c r="F31" i="6" s="1"/>
  <c r="E56" i="39"/>
  <c r="E51" i="40"/>
  <c r="E16" i="6"/>
  <c r="E58" i="40"/>
  <c r="E63" i="39"/>
  <c r="C35" i="69"/>
  <c r="C38" i="69"/>
  <c r="F27" i="68"/>
  <c r="F27" i="11"/>
  <c r="F27" i="69"/>
  <c r="F28" i="12"/>
  <c r="C29" i="12" s="1"/>
  <c r="D28" i="12" s="1"/>
  <c r="F22" i="43"/>
  <c r="K101" i="43"/>
  <c r="F101" i="43"/>
  <c r="N101" i="43"/>
  <c r="E22" i="43"/>
  <c r="L101" i="43"/>
  <c r="H101" i="43"/>
  <c r="E101" i="43"/>
  <c r="S2" i="43"/>
  <c r="T2" i="43" s="1"/>
  <c r="V2" i="43" s="1"/>
  <c r="S5" i="43"/>
  <c r="T5" i="43" s="1"/>
  <c r="V5" i="43" s="1"/>
  <c r="C23" i="43"/>
  <c r="C21" i="43" s="1"/>
  <c r="S4" i="43"/>
  <c r="T4" i="43" s="1"/>
  <c r="V4" i="43" s="1"/>
  <c r="S7" i="43"/>
  <c r="T7" i="43" s="1"/>
  <c r="V7" i="43" s="1"/>
  <c r="J22" i="43"/>
  <c r="B113" i="43"/>
  <c r="G101" i="43"/>
  <c r="C101" i="43"/>
  <c r="J101" i="43"/>
  <c r="N104" i="46"/>
  <c r="H22" i="43"/>
  <c r="D101" i="43"/>
  <c r="M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I53" i="82"/>
  <c r="J53" i="82" s="1"/>
  <c r="I52" i="82"/>
  <c r="J52" i="82" s="1"/>
  <c r="G53" i="82"/>
  <c r="H53" i="82" s="1"/>
  <c r="G52" i="82"/>
  <c r="H52" i="82" s="1"/>
  <c r="F70" i="39"/>
  <c r="G68" i="39"/>
  <c r="E31" i="6"/>
  <c r="K19" i="6"/>
  <c r="K24" i="6"/>
  <c r="M24" i="6" s="1"/>
  <c r="I24" i="6" s="1"/>
  <c r="S24" i="6" s="1"/>
  <c r="K23" i="6"/>
  <c r="M23" i="6" s="1"/>
  <c r="I23" i="6" s="1"/>
  <c r="S23" i="6" s="1"/>
  <c r="K21" i="6"/>
  <c r="M21" i="6" s="1"/>
  <c r="I21" i="6" s="1"/>
  <c r="S21" i="6" s="1"/>
  <c r="K25" i="6"/>
  <c r="M25" i="6" s="1"/>
  <c r="I25" i="6" s="1"/>
  <c r="S25" i="6" s="1"/>
  <c r="K20" i="6"/>
  <c r="K26" i="6"/>
  <c r="M26" i="6" s="1"/>
  <c r="I26" i="6" s="1"/>
  <c r="S26" i="6" s="1"/>
  <c r="K22" i="6"/>
  <c r="M22" i="6" s="1"/>
  <c r="I22" i="6" s="1"/>
  <c r="S22" i="6" s="1"/>
  <c r="F10" i="39"/>
  <c r="J10" i="40"/>
  <c r="F10" i="40"/>
  <c r="H10" i="39"/>
  <c r="H10" i="40"/>
  <c r="J10" i="39"/>
  <c r="C23" i="67"/>
  <c r="J26" i="67"/>
  <c r="J29" i="67"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557" i="3"/>
  <c r="E15" i="3"/>
  <c r="H46" i="36"/>
  <c r="G58" i="21"/>
  <c r="E61" i="39"/>
  <c r="E56" i="40"/>
  <c r="E59" i="40"/>
  <c r="E64" i="39"/>
  <c r="E57" i="40"/>
  <c r="E62" i="39"/>
  <c r="G53" i="33"/>
  <c r="H53" i="33" s="1"/>
  <c r="F7" i="34"/>
  <c r="J7" i="40"/>
  <c r="G43" i="35"/>
  <c r="H43" i="35" s="1"/>
  <c r="G42" i="35"/>
  <c r="H42" i="35" s="1"/>
  <c r="M7" i="1"/>
  <c r="I6" i="3"/>
  <c r="R49" i="33"/>
  <c r="E48" i="33"/>
  <c r="E3" i="6"/>
  <c r="AY6" i="3"/>
  <c r="G33" i="43"/>
  <c r="I33" i="43" s="1"/>
  <c r="E33" i="43"/>
  <c r="G38" i="43"/>
  <c r="I38" i="43" s="1"/>
  <c r="E38" i="43"/>
  <c r="E36" i="43"/>
  <c r="G36" i="43"/>
  <c r="I36" i="43" s="1"/>
  <c r="Q73" i="79"/>
  <c r="Q60" i="79"/>
  <c r="J6" i="79"/>
  <c r="J5" i="79" s="1"/>
  <c r="C5" i="15"/>
  <c r="C29" i="67"/>
  <c r="C57" i="67" s="1"/>
  <c r="C64" i="67" s="1"/>
  <c r="C59" i="67"/>
  <c r="C66" i="67"/>
  <c r="C38" i="67"/>
  <c r="C31" i="67"/>
  <c r="C16" i="79"/>
  <c r="AE7" i="1"/>
  <c r="C66" i="79" l="1"/>
  <c r="C13" i="67"/>
  <c r="Q70" i="67" s="1"/>
  <c r="J19" i="67"/>
  <c r="C36" i="67"/>
  <c r="J26" i="79"/>
  <c r="J24" i="79"/>
  <c r="J17" i="79"/>
  <c r="J18" i="7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2" i="33"/>
  <c r="F52" i="33" s="1"/>
  <c r="E53" i="33"/>
  <c r="F53" i="33" s="1"/>
  <c r="W7" i="40"/>
  <c r="AC7" i="40"/>
  <c r="V42" i="40" s="1"/>
  <c r="I42" i="40" s="1"/>
  <c r="H58" i="21"/>
  <c r="I58" i="21" s="1"/>
  <c r="J58" i="21" s="1"/>
  <c r="K58" i="21" s="1"/>
  <c r="L58" i="21" s="1"/>
  <c r="M58" i="21" s="1"/>
  <c r="N58" i="21" s="1"/>
  <c r="O58" i="21" s="1"/>
  <c r="J7" i="21"/>
  <c r="AC6" i="3"/>
  <c r="U10" i="40"/>
  <c r="AB10" i="40"/>
  <c r="S10" i="40"/>
  <c r="AA10" i="40"/>
  <c r="S10" i="39"/>
  <c r="AA10" i="39"/>
  <c r="M19" i="6"/>
  <c r="K27" i="6"/>
  <c r="S6" i="1"/>
  <c r="H68" i="39"/>
  <c r="G70" i="39"/>
  <c r="I102" i="43"/>
  <c r="I106" i="43"/>
  <c r="I103" i="43"/>
  <c r="I109" i="43"/>
  <c r="I104" i="43"/>
  <c r="I107" i="43"/>
  <c r="I105" i="43"/>
  <c r="D109" i="43"/>
  <c r="D103" i="43"/>
  <c r="D104" i="43"/>
  <c r="D107" i="43"/>
  <c r="D105" i="43"/>
  <c r="D106" i="43"/>
  <c r="D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C29" i="43"/>
  <c r="H102" i="43"/>
  <c r="H103" i="43"/>
  <c r="H104" i="43"/>
  <c r="H107" i="43"/>
  <c r="H106" i="43"/>
  <c r="H105" i="43"/>
  <c r="H109" i="43"/>
  <c r="D22" i="43"/>
  <c r="F102" i="43"/>
  <c r="F105" i="43"/>
  <c r="F109" i="43"/>
  <c r="F104" i="43"/>
  <c r="F107" i="43"/>
  <c r="F106" i="43"/>
  <c r="F103" i="43"/>
  <c r="C47" i="11"/>
  <c r="D45" i="11" s="1"/>
  <c r="C29" i="11"/>
  <c r="D27" i="11" s="1"/>
  <c r="E66" i="39"/>
  <c r="I53" i="33"/>
  <c r="J53" i="33" s="1"/>
  <c r="E53" i="82"/>
  <c r="F53" i="82" s="1"/>
  <c r="E52" i="82"/>
  <c r="F52" i="82" s="1"/>
  <c r="E43" i="35"/>
  <c r="F43" i="35" s="1"/>
  <c r="E42" i="35"/>
  <c r="F42" i="35" s="1"/>
  <c r="U7" i="34"/>
  <c r="AB7" i="34"/>
  <c r="T49" i="34" s="1"/>
  <c r="G49" i="34" s="1"/>
  <c r="J14" i="67"/>
  <c r="J22" i="67" s="1"/>
  <c r="Q49" i="67"/>
  <c r="B14" i="74"/>
  <c r="B1" i="74" s="1"/>
  <c r="D3" i="34"/>
  <c r="D19" i="11"/>
  <c r="C19" i="11" s="1"/>
  <c r="D37" i="11"/>
  <c r="C37" i="11" s="1"/>
  <c r="D14" i="12"/>
  <c r="D3" i="37"/>
  <c r="D3" i="21"/>
  <c r="E6" i="6"/>
  <c r="C17" i="4"/>
  <c r="B4" i="52" s="1"/>
  <c r="B43" i="72" s="1"/>
  <c r="C49" i="33"/>
  <c r="R24" i="31" s="1"/>
  <c r="C48" i="33"/>
  <c r="H6" i="3"/>
  <c r="E6" i="3" s="1"/>
  <c r="S7" i="34"/>
  <c r="AA7" i="34"/>
  <c r="R49" i="34" s="1"/>
  <c r="F7" i="21"/>
  <c r="I46" i="36"/>
  <c r="AC10" i="39"/>
  <c r="W10" i="39"/>
  <c r="AB10" i="39"/>
  <c r="U10" i="39"/>
  <c r="W10" i="40"/>
  <c r="AC10" i="40"/>
  <c r="M20" i="6"/>
  <c r="I20" i="6" s="1"/>
  <c r="S20" i="6" s="1"/>
  <c r="S7" i="1"/>
  <c r="M109" i="43"/>
  <c r="M102" i="43"/>
  <c r="M106" i="43"/>
  <c r="M103" i="43"/>
  <c r="M104" i="43"/>
  <c r="M107" i="43"/>
  <c r="M105" i="43"/>
  <c r="J104" i="43"/>
  <c r="J107" i="43"/>
  <c r="J102" i="43"/>
  <c r="J109" i="43"/>
  <c r="J105" i="43"/>
  <c r="J103" i="43"/>
  <c r="J106" i="43"/>
  <c r="G105" i="43"/>
  <c r="G107" i="43"/>
  <c r="G104" i="43"/>
  <c r="G106" i="43"/>
  <c r="G109" i="43"/>
  <c r="G102" i="43"/>
  <c r="G103" i="43"/>
  <c r="E102" i="43"/>
  <c r="E106" i="43"/>
  <c r="E103" i="43"/>
  <c r="E109" i="43"/>
  <c r="E104" i="43"/>
  <c r="E107" i="43"/>
  <c r="E105" i="43"/>
  <c r="L102" i="43"/>
  <c r="L105" i="43"/>
  <c r="L104" i="43"/>
  <c r="L109" i="43"/>
  <c r="L106" i="43"/>
  <c r="L107" i="43"/>
  <c r="L103" i="43"/>
  <c r="N105" i="43"/>
  <c r="N104" i="43"/>
  <c r="N102" i="43"/>
  <c r="N103" i="43"/>
  <c r="N106" i="43"/>
  <c r="N107" i="43"/>
  <c r="N109" i="43"/>
  <c r="K102" i="43"/>
  <c r="K105" i="43"/>
  <c r="K109" i="43"/>
  <c r="K103" i="43"/>
  <c r="K107" i="43"/>
  <c r="K104" i="43"/>
  <c r="K106" i="43"/>
  <c r="M16" i="1"/>
  <c r="C47" i="69"/>
  <c r="D45" i="69" s="1"/>
  <c r="C29" i="69"/>
  <c r="D27" i="69" s="1"/>
  <c r="C29" i="68"/>
  <c r="D27" i="68" s="1"/>
  <c r="C47" i="68"/>
  <c r="D45" i="68" s="1"/>
  <c r="J52" i="37"/>
  <c r="C49" i="82"/>
  <c r="C48" i="82"/>
  <c r="I42" i="35"/>
  <c r="J42" i="35" s="1"/>
  <c r="I43" i="35"/>
  <c r="J43" i="35" s="1"/>
  <c r="C39" i="35"/>
  <c r="B2" i="35" s="1"/>
  <c r="B3" i="35" s="1"/>
  <c r="C38" i="35"/>
  <c r="AC7" i="34"/>
  <c r="V49" i="34" s="1"/>
  <c r="I49" i="34" s="1"/>
  <c r="W7" i="34"/>
  <c r="G46" i="40"/>
  <c r="H46" i="40" s="1"/>
  <c r="G47" i="40"/>
  <c r="H47" i="40" s="1"/>
  <c r="R43" i="40"/>
  <c r="E42" i="40"/>
  <c r="C31" i="15"/>
  <c r="C38" i="15"/>
  <c r="C37" i="67"/>
  <c r="C30" i="67" s="1"/>
  <c r="C39" i="67" s="1"/>
  <c r="J13" i="67"/>
  <c r="J23" i="67" s="1"/>
  <c r="C17" i="79"/>
  <c r="F41" i="79"/>
  <c r="C17" i="15"/>
  <c r="C75" i="67" l="1"/>
  <c r="C80" i="67" s="1"/>
  <c r="C79" i="67" s="1"/>
  <c r="C56" i="67"/>
  <c r="C65" i="67" s="1"/>
  <c r="C58" i="67" s="1"/>
  <c r="C67" i="67" s="1"/>
  <c r="C68" i="67" s="1"/>
  <c r="C71" i="67" s="1"/>
  <c r="F69" i="79"/>
  <c r="C43" i="40"/>
  <c r="C42" i="40"/>
  <c r="C2" i="83"/>
  <c r="B2" i="82"/>
  <c r="B3" i="82"/>
  <c r="E46" i="40"/>
  <c r="F46" i="40" s="1"/>
  <c r="E47" i="40"/>
  <c r="F47" i="40" s="1"/>
  <c r="T7" i="1"/>
  <c r="AR7" i="1"/>
  <c r="AQ7" i="1"/>
  <c r="E7" i="70"/>
  <c r="J46" i="36"/>
  <c r="E49" i="34"/>
  <c r="R50" i="34"/>
  <c r="B2" i="33"/>
  <c r="B3" i="33" s="1"/>
  <c r="D10" i="68"/>
  <c r="D10" i="69"/>
  <c r="D20" i="12"/>
  <c r="C20" i="12" s="1"/>
  <c r="C18" i="12" s="1"/>
  <c r="D10" i="11"/>
  <c r="C10" i="11" s="1"/>
  <c r="D17" i="12"/>
  <c r="C17" i="12" s="1"/>
  <c r="C14" i="12"/>
  <c r="C16" i="12" s="1"/>
  <c r="C20" i="11"/>
  <c r="C25" i="11" s="1"/>
  <c r="C24" i="11"/>
  <c r="C7" i="74"/>
  <c r="C8" i="74"/>
  <c r="C30" i="43"/>
  <c r="E30" i="43" s="1"/>
  <c r="C27" i="43" s="1"/>
  <c r="E29" i="43"/>
  <c r="C26" i="43" s="1"/>
  <c r="H70" i="39"/>
  <c r="I68" i="39"/>
  <c r="H7" i="21"/>
  <c r="I47" i="40"/>
  <c r="J47" i="40" s="1"/>
  <c r="I46" i="40"/>
  <c r="J46" i="40" s="1"/>
  <c r="I54" i="34"/>
  <c r="J54" i="34" s="1"/>
  <c r="I53" i="34"/>
  <c r="J53" i="34" s="1"/>
  <c r="K52" i="37"/>
  <c r="L52" i="37" s="1"/>
  <c r="M52" i="37" s="1"/>
  <c r="N52" i="37" s="1"/>
  <c r="O52" i="37" s="1"/>
  <c r="J7" i="37" s="1"/>
  <c r="H7" i="37"/>
  <c r="L16" i="1"/>
  <c r="N16" i="1"/>
  <c r="C34" i="11"/>
  <c r="C34" i="68"/>
  <c r="S7" i="21"/>
  <c r="AA7" i="21"/>
  <c r="R48" i="21" s="1"/>
  <c r="G53" i="34"/>
  <c r="H53" i="34" s="1"/>
  <c r="G54" i="34"/>
  <c r="H54" i="34" s="1"/>
  <c r="C115" i="43"/>
  <c r="D113" i="43"/>
  <c r="T6" i="1"/>
  <c r="AQ6" i="1"/>
  <c r="AR6" i="1"/>
  <c r="S16" i="1"/>
  <c r="E6" i="70"/>
  <c r="E2" i="70" s="1"/>
  <c r="I19" i="6"/>
  <c r="H19" i="6" s="1"/>
  <c r="M27" i="6"/>
  <c r="W7" i="21"/>
  <c r="AC7" i="21"/>
  <c r="V48" i="21" s="1"/>
  <c r="I48" i="21" s="1"/>
  <c r="D19" i="6"/>
  <c r="D20" i="6"/>
  <c r="R20" i="6" s="1"/>
  <c r="R7" i="1" s="1"/>
  <c r="H20" i="6"/>
  <c r="D25" i="6"/>
  <c r="D15" i="6"/>
  <c r="D22" i="6"/>
  <c r="D21" i="6"/>
  <c r="D24" i="6"/>
  <c r="R24" i="6" s="1"/>
  <c r="D5" i="6"/>
  <c r="D12" i="6"/>
  <c r="D11" i="6"/>
  <c r="D13" i="6"/>
  <c r="D28" i="6"/>
  <c r="E61" i="40"/>
  <c r="H23" i="6"/>
  <c r="H26" i="6"/>
  <c r="C18" i="4"/>
  <c r="D23" i="6"/>
  <c r="R23" i="6" s="1"/>
  <c r="D6" i="6"/>
  <c r="D10" i="6"/>
  <c r="D29" i="6"/>
  <c r="H22" i="6"/>
  <c r="H24" i="6"/>
  <c r="C14" i="74"/>
  <c r="B2" i="74" s="1"/>
  <c r="D26" i="6"/>
  <c r="D8" i="6"/>
  <c r="D14" i="6"/>
  <c r="D9" i="6"/>
  <c r="H25" i="6"/>
  <c r="H21" i="6"/>
  <c r="J29" i="79"/>
  <c r="J16" i="67"/>
  <c r="J25" i="67" s="1"/>
  <c r="Q69" i="67"/>
  <c r="Q68" i="67" s="1"/>
  <c r="C40" i="67"/>
  <c r="C14" i="79"/>
  <c r="C14" i="15"/>
  <c r="E6" i="76"/>
  <c r="F35" i="79"/>
  <c r="M21" i="79"/>
  <c r="L51" i="67"/>
  <c r="C22" i="11" l="1"/>
  <c r="C31" i="11" s="1"/>
  <c r="R26" i="6"/>
  <c r="H27" i="6"/>
  <c r="C28" i="11"/>
  <c r="C27" i="11" s="1"/>
  <c r="C21" i="12"/>
  <c r="C18" i="15"/>
  <c r="C15" i="15"/>
  <c r="F63" i="79"/>
  <c r="J20" i="79"/>
  <c r="E2" i="76"/>
  <c r="C15" i="79"/>
  <c r="C18" i="79"/>
  <c r="AC7" i="37"/>
  <c r="V42" i="37" s="1"/>
  <c r="I42" i="37" s="1"/>
  <c r="W7" i="37"/>
  <c r="R22" i="6"/>
  <c r="R25" i="6"/>
  <c r="D16" i="6"/>
  <c r="D7" i="74"/>
  <c r="D8" i="74"/>
  <c r="A7" i="51"/>
  <c r="B7" i="72" s="1"/>
  <c r="C4" i="52"/>
  <c r="B45" i="72" s="1"/>
  <c r="A10" i="51"/>
  <c r="B9" i="72" s="1"/>
  <c r="D30" i="6"/>
  <c r="R21" i="6"/>
  <c r="I52" i="21"/>
  <c r="J52" i="21" s="1"/>
  <c r="I53" i="21"/>
  <c r="J53" i="21" s="1"/>
  <c r="T16" i="1"/>
  <c r="R49" i="21"/>
  <c r="E48" i="21"/>
  <c r="C35" i="68"/>
  <c r="C38" i="68"/>
  <c r="F50" i="69"/>
  <c r="F50" i="11"/>
  <c r="F50" i="68"/>
  <c r="AB7" i="37"/>
  <c r="T42" i="37" s="1"/>
  <c r="G42" i="37" s="1"/>
  <c r="U7" i="37"/>
  <c r="U7" i="21"/>
  <c r="AB7" i="21"/>
  <c r="T48" i="21" s="1"/>
  <c r="G48" i="21" s="1"/>
  <c r="C22" i="12"/>
  <c r="C30" i="12" s="1"/>
  <c r="C28" i="12" s="1"/>
  <c r="C10" i="69"/>
  <c r="C8" i="69" s="1"/>
  <c r="C5" i="69" s="1"/>
  <c r="D19" i="69"/>
  <c r="C49" i="34"/>
  <c r="C50" i="34"/>
  <c r="B2" i="34" s="1"/>
  <c r="B3" i="34" s="1"/>
  <c r="F7" i="37"/>
  <c r="R19" i="6"/>
  <c r="D27" i="6"/>
  <c r="D31" i="6" s="1"/>
  <c r="I27" i="6"/>
  <c r="S19" i="6"/>
  <c r="S27" i="6" s="1"/>
  <c r="C38" i="11"/>
  <c r="C35" i="11"/>
  <c r="J68" i="39"/>
  <c r="I70" i="39"/>
  <c r="B2" i="43"/>
  <c r="C10" i="68"/>
  <c r="D19" i="68"/>
  <c r="S24" i="31"/>
  <c r="R26" i="31"/>
  <c r="S26" i="31" s="1"/>
  <c r="R25" i="31"/>
  <c r="S25" i="31" s="1"/>
  <c r="E54" i="34"/>
  <c r="F54" i="34" s="1"/>
  <c r="E53" i="34"/>
  <c r="F53" i="34" s="1"/>
  <c r="K46" i="36"/>
  <c r="C3" i="83"/>
  <c r="C4" i="83" s="1"/>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Q67" i="67"/>
  <c r="L57" i="67"/>
  <c r="L60" i="67" s="1"/>
  <c r="Q65" i="67"/>
  <c r="Q56" i="67"/>
  <c r="Q47" i="67"/>
  <c r="Q53" i="67" s="1"/>
  <c r="C43" i="67"/>
  <c r="C83" i="67"/>
  <c r="C82" i="67" s="1"/>
  <c r="C45" i="67"/>
  <c r="C46" i="67" s="1"/>
  <c r="B6" i="76"/>
  <c r="C19" i="15" l="1"/>
  <c r="C20" i="15" s="1"/>
  <c r="C23" i="15" s="1"/>
  <c r="C27" i="12"/>
  <c r="C25" i="12" s="1"/>
  <c r="C32" i="12" s="1"/>
  <c r="B2" i="12" s="1"/>
  <c r="B3" i="12" s="1"/>
  <c r="C5" i="83"/>
  <c r="U7" i="1" s="1"/>
  <c r="C19" i="79"/>
  <c r="C20" i="79" s="1"/>
  <c r="C23" i="79" s="1"/>
  <c r="C33" i="11"/>
  <c r="C42" i="11" s="1"/>
  <c r="B2" i="76"/>
  <c r="B3" i="76" s="1"/>
  <c r="C39" i="11"/>
  <c r="C43" i="11" s="1"/>
  <c r="S22" i="31"/>
  <c r="R22" i="31" s="1"/>
  <c r="B21" i="31" s="1"/>
  <c r="B3" i="43"/>
  <c r="J70" i="39"/>
  <c r="K68" i="39"/>
  <c r="I5" i="6"/>
  <c r="I6" i="6"/>
  <c r="S7" i="37"/>
  <c r="AA7" i="37"/>
  <c r="R42" i="37" s="1"/>
  <c r="C23" i="69"/>
  <c r="G52" i="21"/>
  <c r="H52" i="21" s="1"/>
  <c r="G53" i="21"/>
  <c r="H53" i="21" s="1"/>
  <c r="E52" i="21"/>
  <c r="F52" i="21" s="1"/>
  <c r="E53" i="21"/>
  <c r="F53" i="21" s="1"/>
  <c r="I46" i="37"/>
  <c r="J46" i="37" s="1"/>
  <c r="L46" i="36"/>
  <c r="C19" i="68"/>
  <c r="D37" i="68"/>
  <c r="C37" i="68" s="1"/>
  <c r="C33" i="68" s="1"/>
  <c r="R6" i="1"/>
  <c r="R27" i="6"/>
  <c r="D37" i="69"/>
  <c r="C37" i="69" s="1"/>
  <c r="C33" i="69" s="1"/>
  <c r="C19" i="69"/>
  <c r="C24" i="69" s="1"/>
  <c r="G47" i="37"/>
  <c r="H47" i="37" s="1"/>
  <c r="G46" i="37"/>
  <c r="H46" i="37" s="1"/>
  <c r="C48" i="21"/>
  <c r="C49" i="21"/>
  <c r="B2" i="21" s="1"/>
  <c r="B3" i="21" s="1"/>
  <c r="Q57" i="67"/>
  <c r="Q62" i="67" s="1"/>
  <c r="Q66" i="67"/>
  <c r="Q75" i="67" s="1"/>
  <c r="L46" i="67"/>
  <c r="D2" i="67" s="1"/>
  <c r="F6" i="79"/>
  <c r="C20" i="9"/>
  <c r="M21" i="15"/>
  <c r="F35" i="15"/>
  <c r="F49" i="15" l="1"/>
  <c r="C53" i="15" s="1"/>
  <c r="C46" i="11"/>
  <c r="C45" i="11" s="1"/>
  <c r="C41" i="11"/>
  <c r="C26" i="15"/>
  <c r="C29" i="15" s="1"/>
  <c r="C13" i="15" s="1"/>
  <c r="C26" i="79"/>
  <c r="C29" i="79" s="1"/>
  <c r="C57" i="79" s="1"/>
  <c r="C64" i="79" s="1"/>
  <c r="F63" i="15"/>
  <c r="J20" i="15"/>
  <c r="C6" i="79"/>
  <c r="C10" i="79"/>
  <c r="C103" i="9"/>
  <c r="C39" i="68"/>
  <c r="C42" i="68"/>
  <c r="C39" i="69"/>
  <c r="C43" i="69" s="1"/>
  <c r="C42" i="69"/>
  <c r="R16" i="1"/>
  <c r="C20" i="68"/>
  <c r="C25" i="68" s="1"/>
  <c r="C24" i="68"/>
  <c r="M46" i="36"/>
  <c r="R43" i="37"/>
  <c r="E42" i="37"/>
  <c r="L68" i="39"/>
  <c r="K70" i="39"/>
  <c r="Z6" i="1"/>
  <c r="C20" i="69"/>
  <c r="B2" i="67"/>
  <c r="B3" i="67"/>
  <c r="F31" i="79"/>
  <c r="M6" i="15"/>
  <c r="F59" i="15"/>
  <c r="C36" i="79" l="1"/>
  <c r="C13" i="79"/>
  <c r="Q70" i="79" s="1"/>
  <c r="C49" i="15"/>
  <c r="C48" i="15" s="1"/>
  <c r="J14" i="79"/>
  <c r="J22" i="79" s="1"/>
  <c r="J19" i="15"/>
  <c r="C49" i="11"/>
  <c r="C51" i="11" s="1"/>
  <c r="C52" i="11" s="1"/>
  <c r="B2" i="11" s="1"/>
  <c r="B3" i="11" s="1"/>
  <c r="Q49" i="15"/>
  <c r="J14" i="15"/>
  <c r="J13" i="15" s="1"/>
  <c r="J23" i="15" s="1"/>
  <c r="C57" i="15"/>
  <c r="C64" i="15" s="1"/>
  <c r="C36" i="15"/>
  <c r="C41" i="69"/>
  <c r="C22" i="68"/>
  <c r="C46" i="69"/>
  <c r="C45" i="69" s="1"/>
  <c r="J19" i="79"/>
  <c r="Q49" i="79"/>
  <c r="C28" i="68"/>
  <c r="C27" i="68" s="1"/>
  <c r="C31" i="68" s="1"/>
  <c r="J6" i="15"/>
  <c r="J10" i="15"/>
  <c r="C37" i="15"/>
  <c r="C56" i="15"/>
  <c r="C65" i="15" s="1"/>
  <c r="Q70" i="15"/>
  <c r="C75" i="15"/>
  <c r="E47" i="37"/>
  <c r="F47" i="37" s="1"/>
  <c r="E46" i="37"/>
  <c r="F46" i="37" s="1"/>
  <c r="I47" i="37"/>
  <c r="J47" i="37" s="1"/>
  <c r="C28" i="69"/>
  <c r="C27" i="69" s="1"/>
  <c r="C25" i="69"/>
  <c r="C22" i="69" s="1"/>
  <c r="J22" i="15"/>
  <c r="L70" i="39"/>
  <c r="M68" i="39"/>
  <c r="C43" i="37"/>
  <c r="B2" i="37" s="1"/>
  <c r="B3" i="37" s="1"/>
  <c r="C42" i="37"/>
  <c r="N46" i="36"/>
  <c r="O46" i="36" s="1"/>
  <c r="H7" i="36"/>
  <c r="C5" i="79"/>
  <c r="C46" i="68"/>
  <c r="C45" i="68" s="1"/>
  <c r="C43" i="68"/>
  <c r="C41" i="68" s="1"/>
  <c r="C75" i="79"/>
  <c r="M17" i="15"/>
  <c r="J13" i="79" l="1"/>
  <c r="J23" i="79" s="1"/>
  <c r="C37" i="79"/>
  <c r="C56" i="79"/>
  <c r="C65" i="79" s="1"/>
  <c r="C58" i="79" s="1"/>
  <c r="C67" i="79" s="1"/>
  <c r="C68" i="79" s="1"/>
  <c r="C30" i="15"/>
  <c r="C39" i="15" s="1"/>
  <c r="C40" i="15" s="1"/>
  <c r="C49" i="69"/>
  <c r="C51" i="69" s="1"/>
  <c r="C31" i="69"/>
  <c r="J16" i="79"/>
  <c r="J25" i="79" s="1"/>
  <c r="C49" i="68"/>
  <c r="C51" i="68" s="1"/>
  <c r="C52" i="68" s="1"/>
  <c r="B2" i="68" s="1"/>
  <c r="B3" i="68" s="1"/>
  <c r="C56" i="11"/>
  <c r="C57" i="11" s="1"/>
  <c r="J5" i="15"/>
  <c r="J24" i="15" s="1"/>
  <c r="U7" i="36"/>
  <c r="AB7" i="36"/>
  <c r="T36" i="36" s="1"/>
  <c r="G36" i="36" s="1"/>
  <c r="N68" i="39"/>
  <c r="M70" i="39"/>
  <c r="C71" i="79"/>
  <c r="Q69" i="15"/>
  <c r="Q68" i="15" s="1"/>
  <c r="J7" i="36"/>
  <c r="F7" i="36"/>
  <c r="C38" i="79"/>
  <c r="C31" i="79"/>
  <c r="C59" i="15"/>
  <c r="C66" i="15"/>
  <c r="L51" i="15"/>
  <c r="C80" i="15" l="1"/>
  <c r="C79" i="15" s="1"/>
  <c r="J18" i="15"/>
  <c r="C52" i="69"/>
  <c r="C57" i="69" s="1"/>
  <c r="C56" i="69" s="1"/>
  <c r="J17" i="15"/>
  <c r="J16" i="15" s="1"/>
  <c r="J25" i="15" s="1"/>
  <c r="J26" i="15" s="1"/>
  <c r="J29" i="15" s="1"/>
  <c r="B2" i="69"/>
  <c r="B3" i="69" s="1"/>
  <c r="C58" i="15"/>
  <c r="C67" i="15" s="1"/>
  <c r="C68" i="15" s="1"/>
  <c r="C71" i="15" s="1"/>
  <c r="C30" i="79"/>
  <c r="C39" i="79" s="1"/>
  <c r="C40" i="79" s="1"/>
  <c r="Q67" i="15"/>
  <c r="S7" i="36"/>
  <c r="AA7" i="36"/>
  <c r="R36" i="36" s="1"/>
  <c r="W7" i="36"/>
  <c r="AC7" i="36"/>
  <c r="V36" i="36" s="1"/>
  <c r="I36" i="36" s="1"/>
  <c r="C43" i="15"/>
  <c r="C83" i="15"/>
  <c r="C82" i="15" s="1"/>
  <c r="N70" i="39"/>
  <c r="O68" i="39"/>
  <c r="O70" i="39" s="1"/>
  <c r="G40" i="36"/>
  <c r="H40" i="36" s="1"/>
  <c r="G41" i="36"/>
  <c r="H41" i="36" s="1"/>
  <c r="C57" i="68"/>
  <c r="C56" i="68" s="1"/>
  <c r="C46" i="15" l="1"/>
  <c r="Q56" i="15"/>
  <c r="Q62" i="15" s="1"/>
  <c r="Q65" i="15"/>
  <c r="Q75" i="15" s="1"/>
  <c r="B2" i="15"/>
  <c r="C80" i="79"/>
  <c r="C79" i="79" s="1"/>
  <c r="Q69" i="79"/>
  <c r="Q68" i="79" s="1"/>
  <c r="Q47" i="15"/>
  <c r="Q53" i="15" s="1"/>
  <c r="H7" i="39"/>
  <c r="F7" i="39"/>
  <c r="J7" i="39"/>
  <c r="R37" i="36"/>
  <c r="E36" i="36"/>
  <c r="Q56" i="79"/>
  <c r="Q62" i="79" s="1"/>
  <c r="Q47" i="79"/>
  <c r="Q53" i="79" s="1"/>
  <c r="B2" i="79"/>
  <c r="Q65" i="79"/>
  <c r="Q75" i="79" s="1"/>
  <c r="C43" i="79"/>
  <c r="C83" i="79"/>
  <c r="C82" i="79" s="1"/>
  <c r="C46" i="79"/>
  <c r="I40" i="36"/>
  <c r="J40" i="36" s="1"/>
  <c r="F20" i="31"/>
  <c r="AO6" i="1"/>
  <c r="AO7" i="1"/>
  <c r="L51" i="79"/>
  <c r="Q67" i="79" l="1"/>
  <c r="B20" i="31"/>
  <c r="B6" i="70"/>
  <c r="B3" i="15"/>
  <c r="B7" i="70"/>
  <c r="B2" i="70" s="1"/>
  <c r="AC7" i="39"/>
  <c r="V47" i="39" s="1"/>
  <c r="I47" i="39" s="1"/>
  <c r="W7" i="39"/>
  <c r="AB7" i="39"/>
  <c r="T47" i="39" s="1"/>
  <c r="G47" i="39" s="1"/>
  <c r="U7" i="39"/>
  <c r="E40" i="36"/>
  <c r="F40" i="36" s="1"/>
  <c r="E41" i="36"/>
  <c r="F41" i="36" s="1"/>
  <c r="I41" i="36"/>
  <c r="J41" i="36" s="1"/>
  <c r="B3" i="79"/>
  <c r="C36" i="36"/>
  <c r="C37" i="36"/>
  <c r="B2" i="36" s="1"/>
  <c r="B3" i="36" s="1"/>
  <c r="S7" i="39"/>
  <c r="AA7" i="39"/>
  <c r="R47" i="39" s="1"/>
  <c r="D35" i="9"/>
  <c r="D34" i="9"/>
  <c r="D19" i="9"/>
  <c r="C19" i="9"/>
  <c r="C21" i="9" l="1"/>
  <c r="C102" i="9"/>
  <c r="D102" i="9"/>
  <c r="D21" i="9"/>
  <c r="D22" i="9"/>
  <c r="G19" i="9"/>
  <c r="B3" i="70"/>
  <c r="E47" i="39"/>
  <c r="R48" i="39"/>
  <c r="G52" i="39"/>
  <c r="H52" i="39" s="1"/>
  <c r="G51" i="39"/>
  <c r="H51" i="39" s="1"/>
  <c r="I51" i="39"/>
  <c r="J51" i="39" s="1"/>
  <c r="I52" i="39"/>
  <c r="J52" i="39" s="1"/>
  <c r="D20" i="9"/>
  <c r="D103" i="9" l="1"/>
  <c r="G20" i="9"/>
  <c r="D5" i="83" s="1"/>
  <c r="D2" i="83" s="1"/>
  <c r="C47" i="39"/>
  <c r="C48" i="39"/>
  <c r="E51" i="39"/>
  <c r="F51" i="39" s="1"/>
  <c r="E52" i="39"/>
  <c r="F52" i="39" s="1"/>
  <c r="C32" i="9"/>
  <c r="G21" i="9"/>
  <c r="D4" i="83" l="1"/>
  <c r="D3" i="83"/>
  <c r="H118" i="9"/>
  <c r="C35" i="9"/>
  <c r="F118"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34" i="9" l="1"/>
  <c r="D118" i="9" s="1"/>
  <c r="D4" i="52" s="1"/>
  <c r="B47" i="72" s="1"/>
  <c r="I118" i="9"/>
  <c r="C104" i="9"/>
  <c r="H119" i="9"/>
  <c r="H5" i="52" s="1"/>
  <c r="H101" i="9"/>
  <c r="H4" i="52"/>
  <c r="D14" i="74"/>
  <c r="F119" i="9"/>
  <c r="F5" i="52" s="1"/>
  <c r="B53" i="72" s="1"/>
  <c r="F4" i="52"/>
  <c r="B51" i="72" s="1"/>
  <c r="G118" i="9"/>
  <c r="G4" i="52" s="1"/>
  <c r="B52" i="72" s="1"/>
  <c r="D119" i="9" l="1"/>
  <c r="D5" i="52" s="1"/>
  <c r="B49" i="72" s="1"/>
  <c r="F14" i="74"/>
  <c r="E14" i="74"/>
  <c r="B5" i="74"/>
  <c r="H107" i="9"/>
  <c r="D45" i="9"/>
  <c r="D5" i="53"/>
  <c r="M48" i="9"/>
  <c r="E118" i="9"/>
  <c r="E4" i="52" s="1"/>
  <c r="B48" i="72" s="1"/>
  <c r="C105" i="9"/>
  <c r="H102" i="9"/>
  <c r="D7" i="53" s="1"/>
  <c r="B21" i="72" s="1"/>
  <c r="I4" i="52"/>
  <c r="D6" i="53" l="1"/>
  <c r="B22" i="72" s="1"/>
  <c r="B20" i="72"/>
  <c r="D13" i="53"/>
  <c r="M49" i="9"/>
  <c r="H108" i="9"/>
  <c r="D15" i="53" s="1"/>
  <c r="B31" i="72" s="1"/>
  <c r="D122" i="9"/>
  <c r="C78" i="9"/>
  <c r="C73" i="9" s="1"/>
  <c r="D55" i="9"/>
  <c r="M53" i="9" s="1"/>
  <c r="D53" i="9"/>
  <c r="C72" i="9"/>
  <c r="C85" i="9"/>
  <c r="C64" i="9"/>
  <c r="C63" i="9" s="1"/>
  <c r="C67" i="9" s="1"/>
  <c r="C68" i="9" s="1"/>
  <c r="D54" i="9" s="1"/>
  <c r="D52" i="9"/>
  <c r="C93" i="9"/>
  <c r="C86" i="9" s="1"/>
  <c r="C5" i="74"/>
  <c r="D5" i="74"/>
  <c r="C95" i="9" l="1"/>
  <c r="C96" i="9" s="1"/>
  <c r="E96" i="9" s="1"/>
  <c r="E97" i="9" s="1"/>
  <c r="B30" i="72"/>
  <c r="D14" i="53"/>
  <c r="B32" i="72" s="1"/>
  <c r="C79" i="9"/>
  <c r="G14" i="74"/>
  <c r="B6" i="74" s="1"/>
  <c r="D123" i="9"/>
  <c r="D9" i="52" s="1"/>
  <c r="D8" i="52"/>
  <c r="L64" i="9"/>
  <c r="M64" i="9" s="1"/>
  <c r="L68" i="9"/>
  <c r="M68" i="9" s="1"/>
  <c r="L63" i="9"/>
  <c r="M63" i="9" s="1"/>
  <c r="L65" i="9"/>
  <c r="M65" i="9" s="1"/>
  <c r="L67" i="9"/>
  <c r="M67" i="9" s="1"/>
  <c r="L66" i="9"/>
  <c r="M66" i="9" s="1"/>
  <c r="D6" i="74" l="1"/>
  <c r="C6" i="74"/>
  <c r="C97" i="9"/>
  <c r="D58" i="9" s="1"/>
  <c r="D56" i="9" s="1"/>
  <c r="M54" i="9" s="1"/>
  <c r="N57" i="9" s="1"/>
  <c r="M69" i="9"/>
  <c r="N69"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<sst xmlns="http://schemas.openxmlformats.org/spreadsheetml/2006/main" count="8273" uniqueCount="3214">
  <si>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</si>
  <si>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</si>
  <si>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</si>
  <si>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</si>
  <si>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</si>
  <si>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</si>
  <si>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</si>
  <si>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</si>
  <si>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</si>
  <si>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</si>
  <si>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</si>
  <si>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</si>
  <si>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</si>
  <si>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</si>
  <si>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</si>
  <si>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</si>
  <si>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</si>
  <si>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</si>
  <si>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</si>
  <si>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</si>
  <si>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</si>
  <si>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</si>
  <si>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</si>
  <si>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</si>
  <si>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</si>
  <si>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</si>
  <si>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</si>
  <si>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</si>
  <si>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</si>
  <si>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</si>
  <si>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</si>
  <si>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</si>
  <si>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</si>
  <si>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</si>
  <si>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</si>
  <si>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</si>
  <si>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</si>
  <si>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</si>
  <si>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</si>
  <si>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</si>
  <si>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</si>
  <si>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</si>
  <si>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</si>
  <si>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</si>
  <si>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</si>
  <si>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</si>
  <si>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</si>
  <si>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</si>
  <si>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</si>
  <si>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</si>
  <si>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</si>
  <si>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</si>
  <si>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</si>
  <si>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</si>
  <si>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</si>
  <si>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</si>
  <si>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</si>
  <si>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</si>
  <si>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</si>
  <si>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</si>
  <si>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</si>
  <si>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</si>
  <si>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</si>
  <si>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</si>
  <si>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</si>
  <si>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</si>
  <si>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</si>
  <si>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</si>
  <si>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</si>
  <si>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</si>
  <si>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</si>
  <si>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</si>
  <si>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</si>
  <si>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</si>
  <si>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</si>
  <si>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</si>
  <si>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</si>
  <si>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</si>
  <si>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</si>
  <si>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</si>
  <si>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</si>
  <si>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</si>
  <si>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</si>
  <si>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</si>
  <si>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</si>
  <si>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</si>
  <si>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</si>
  <si>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</si>
  <si>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</si>
  <si>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</si>
  <si>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</si>
  <si>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</si>
  <si>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</si>
  <si>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</si>
  <si>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</si>
  <si>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</si>
  <si>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</si>
  <si>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</si>
  <si>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</si>
  <si>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</si>
  <si>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</si>
  <si>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</si>
  <si>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</si>
  <si>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</si>
  <si>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</si>
  <si>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</si>
  <si>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</si>
  <si>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</si>
  <si>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</si>
  <si>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</si>
  <si>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</si>
  <si>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</si>
  <si>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</si>
  <si>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</si>
  <si>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</si>
  <si>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</si>
  <si>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</si>
  <si>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</si>
  <si>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</si>
  <si>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</si>
  <si>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</si>
  <si>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</si>
  <si>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</si>
  <si>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</si>
  <si>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</si>
  <si>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</si>
  <si>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</si>
  <si>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</si>
  <si>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</si>
  <si>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</si>
  <si>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</si>
  <si>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</si>
  <si>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</si>
  <si>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</si>
  <si>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</si>
  <si>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</si>
  <si>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</si>
  <si>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</si>
  <si>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</si>
  <si>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</si>
  <si>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</si>
  <si>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</si>
  <si>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</si>
  <si>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</si>
  <si>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</si>
  <si>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</si>
  <si>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</si>
  <si>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</si>
  <si>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</si>
  <si>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</si>
  <si>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</si>
  <si>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</si>
  <si>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</si>
  <si>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</si>
  <si>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</si>
  <si>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</si>
  <si>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</si>
  <si>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</si>
  <si>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</si>
  <si>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</si>
  <si>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</si>
  <si>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</si>
  <si>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</si>
  <si>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</si>
  <si>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</si>
  <si>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</si>
  <si>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</si>
  <si>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</si>
  <si>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</si>
  <si>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</si>
  <si>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</si>
  <si>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</si>
  <si>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</si>
  <si>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</si>
  <si>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</si>
  <si>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</si>
  <si>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</si>
  <si>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</si>
  <si>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</si>
  <si>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</si>
  <si>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</si>
  <si>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</si>
  <si>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</si>
  <si>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</si>
  <si>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</si>
  <si>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</si>
  <si>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</si>
  <si>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</si>
  <si>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</si>
  <si>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</si>
  <si>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</si>
  <si>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</si>
  <si>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</si>
  <si>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</si>
  <si>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</si>
  <si>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</si>
  <si>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</si>
  <si>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</si>
  <si>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</si>
  <si>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</si>
  <si>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</si>
  <si>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</si>
  <si>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</si>
  <si>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</si>
  <si>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</si>
  <si>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</si>
  <si>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</si>
  <si>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</si>
  <si>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</si>
  <si>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</si>
  <si>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</si>
  <si>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</si>
  <si>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</si>
  <si>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</si>
  <si>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</si>
  <si>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</si>
  <si>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</si>
  <si>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</si>
  <si>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</si>
  <si>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</si>
  <si>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</si>
  <si>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</si>
  <si>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</si>
  <si>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</si>
  <si>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</si>
  <si>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</si>
  <si>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</si>
  <si>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</si>
  <si>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</si>
  <si>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</si>
  <si>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</si>
  <si>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</si>
  <si>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</si>
  <si>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</si>
  <si>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</si>
  <si>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</si>
  <si>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</si>
  <si>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</si>
  <si>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</si>
  <si>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</si>
  <si>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</si>
  <si>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</si>
  <si>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</si>
  <si>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</si>
  <si>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</si>
  <si>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</si>
  <si>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</si>
  <si>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</si>
  <si>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</si>
  <si>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</si>
  <si>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</si>
  <si>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</si>
  <si>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</si>
  <si>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</si>
  <si>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</si>
  <si>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</si>
  <si>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</si>
  <si>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</si>
  <si>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</si>
  <si>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</si>
  <si>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</si>
  <si>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</si>
  <si>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</si>
  <si>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</si>
  <si>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</si>
  <si>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</si>
  <si>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</si>
  <si>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</si>
  <si>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</si>
  <si>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</si>
  <si>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</si>
  <si>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</si>
  <si>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</si>
  <si>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</si>
  <si>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</si>
  <si>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</si>
  <si>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</si>
  <si>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</si>
  <si>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</si>
  <si>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</si>
  <si>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</si>
  <si>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</si>
  <si>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</si>
  <si>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</si>
  <si>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</si>
  <si>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</si>
  <si>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</si>
  <si>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</si>
  <si>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</si>
  <si>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</si>
  <si>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</si>
  <si>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</si>
  <si>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</si>
  <si>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</si>
  <si>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</si>
  <si>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</si>
  <si>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</si>
  <si>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</si>
  <si>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</si>
  <si>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</si>
  <si>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</si>
  <si>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</si>
  <si>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</si>
  <si>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</si>
  <si>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</si>
  <si>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</si>
  <si>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</si>
  <si>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</si>
  <si>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</si>
  <si>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</si>
  <si>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</si>
  <si>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</si>
  <si>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</si>
  <si>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</si>
  <si>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</si>
  <si>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</si>
  <si>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</si>
  <si>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</si>
  <si>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</si>
  <si>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</si>
  <si>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</si>
  <si>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</si>
  <si>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</si>
  <si>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</si>
  <si>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</si>
  <si>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</si>
  <si>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</si>
  <si>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</si>
  <si>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</si>
  <si>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</si>
  <si>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</si>
  <si>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</si>
  <si>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</si>
  <si>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</si>
  <si>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</si>
  <si>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</si>
  <si>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</si>
  <si>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</si>
  <si>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</si>
  <si>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</si>
  <si>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</si>
  <si>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</si>
  <si>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</si>
  <si>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</si>
  <si>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</si>
  <si>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</si>
  <si>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</si>
  <si>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</si>
  <si>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</si>
  <si>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</si>
  <si>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</si>
  <si>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</si>
  <si>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</si>
  <si>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</si>
  <si>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</si>
  <si>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</si>
  <si>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</si>
  <si>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</si>
  <si>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</si>
  <si>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</si>
  <si>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</si>
  <si>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</si>
  <si>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</si>
  <si>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</si>
  <si>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</si>
  <si>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</si>
  <si>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</si>
  <si>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</si>
  <si>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</si>
  <si>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</si>
  <si>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</si>
  <si>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</si>
  <si>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</si>
  <si>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</si>
  <si>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</si>
  <si>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</si>
  <si>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</si>
  <si>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</si>
  <si>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</si>
  <si>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</si>
  <si>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</si>
  <si>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</si>
  <si>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</si>
  <si>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</si>
  <si>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</si>
  <si>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</si>
  <si>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</si>
  <si>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</si>
  <si>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</si>
  <si>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</si>
  <si>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</si>
  <si>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</si>
  <si>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</si>
  <si>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</si>
  <si>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</si>
  <si>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</si>
  <si>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</si>
  <si>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</si>
  <si>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</si>
  <si>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</si>
  <si>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</si>
  <si>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</si>
  <si>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</si>
  <si>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</si>
  <si>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</si>
  <si>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</si>
  <si>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</si>
  <si>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</si>
  <si>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</si>
  <si>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</si>
  <si>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</si>
  <si>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</si>
  <si>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</si>
  <si>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</si>
  <si>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</si>
  <si>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</si>
  <si>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</si>
  <si>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</si>
  <si>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</si>
  <si>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</si>
  <si>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</si>
  <si>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</si>
  <si>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</si>
  <si>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</si>
  <si>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</si>
  <si>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</si>
  <si>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</si>
  <si>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</si>
  <si>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</si>
  <si>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</si>
  <si>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</si>
  <si>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</si>
  <si>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</si>
  <si>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</si>
  <si>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</si>
  <si>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</si>
  <si>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</si>
  <si>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</si>
  <si>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</si>
  <si>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</si>
  <si>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</si>
  <si>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</si>
  <si>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</si>
  <si>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</si>
  <si>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</si>
  <si>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</si>
  <si>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</si>
  <si>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</si>
  <si>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</si>
  <si>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</si>
  <si>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</si>
  <si>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</si>
  <si>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</si>
  <si>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</si>
  <si>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</si>
  <si>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</si>
  <si>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</si>
  <si>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</si>
  <si>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</si>
  <si>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</si>
  <si>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</si>
  <si>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</si>
  <si>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</si>
  <si>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</si>
  <si>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</si>
  <si>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</si>
  <si>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</si>
  <si>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</si>
  <si>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</si>
  <si>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</si>
  <si>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</si>
  <si>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</si>
  <si>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</si>
  <si>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</si>
  <si>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</si>
  <si>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</si>
  <si>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</si>
  <si>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</si>
  <si>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</si>
  <si>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</si>
  <si>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</si>
  <si>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</si>
  <si>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</si>
  <si>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</si>
  <si>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</si>
  <si>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</si>
  <si>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</si>
  <si>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</si>
  <si>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</si>
  <si>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</si>
  <si>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</si>
  <si>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</si>
  <si>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</si>
  <si>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</si>
  <si>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</si>
  <si>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</si>
  <si>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</si>
  <si>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</si>
  <si>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</si>
  <si>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</si>
  <si>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</si>
  <si>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</si>
  <si>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</si>
  <si>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</si>
  <si>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</si>
  <si>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</si>
  <si>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</si>
  <si>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</si>
  <si>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</si>
  <si>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</si>
  <si>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</si>
  <si>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</si>
  <si>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</si>
  <si>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</si>
  <si>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</si>
  <si>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</si>
  <si>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</si>
  <si>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</si>
  <si>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</si>
  <si>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</si>
  <si>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</si>
  <si>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</si>
  <si>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</si>
  <si>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</si>
  <si>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</si>
  <si>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</si>
  <si>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</si>
  <si>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</si>
  <si>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</si>
  <si>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</si>
  <si>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</si>
  <si>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</si>
  <si>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</si>
  <si>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</si>
  <si>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</si>
  <si>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</si>
  <si>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</si>
  <si>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</si>
  <si>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</si>
  <si>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</si>
  <si>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</si>
  <si>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</si>
  <si>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</si>
  <si>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</si>
  <si>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</si>
  <si>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</si>
  <si>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</si>
  <si>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</si>
  <si>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</si>
  <si>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</si>
  <si>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</si>
  <si>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</si>
  <si>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</si>
  <si>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</si>
  <si>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</si>
  <si>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</si>
  <si>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</si>
  <si>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</si>
  <si>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</si>
  <si>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</si>
  <si>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</si>
  <si>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</si>
  <si>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</si>
  <si>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</si>
  <si>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</si>
  <si>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</si>
  <si>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</si>
  <si>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</si>
  <si>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</si>
  <si>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</si>
  <si>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</si>
  <si>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</si>
  <si>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</si>
  <si>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</si>
  <si>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</si>
  <si>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</si>
  <si>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</si>
  <si>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</si>
  <si>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</si>
  <si>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</si>
  <si>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</si>
  <si>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</si>
  <si>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</si>
  <si>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</si>
  <si>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</si>
  <si>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</si>
  <si>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</si>
  <si>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</si>
  <si>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</si>
  <si>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</si>
  <si>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</si>
  <si>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</si>
  <si>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</si>
  <si>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</si>
  <si>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</si>
  <si>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</si>
  <si>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</si>
  <si>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</si>
  <si>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</si>
  <si>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</si>
  <si>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</si>
  <si>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</si>
  <si>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</si>
  <si>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</si>
  <si>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</si>
  <si>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</si>
  <si>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</si>
  <si>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</si>
  <si>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</si>
  <si>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</si>
  <si>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</si>
  <si>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</si>
  <si>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</si>
  <si>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</si>
  <si>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</si>
  <si>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</si>
  <si>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</si>
  <si>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</si>
  <si>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</si>
  <si>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</si>
  <si>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</si>
  <si>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</si>
  <si>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</si>
  <si>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</si>
  <si>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</si>
  <si>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</si>
  <si>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</si>
  <si>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</si>
  <si>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</si>
  <si>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</si>
  <si>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</si>
  <si>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</si>
  <si>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</si>
  <si>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</si>
  <si>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</si>
  <si>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</si>
  <si>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</si>
  <si>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</si>
  <si>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</si>
  <si>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</si>
  <si>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</si>
  <si>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</si>
  <si>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</si>
  <si>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</si>
  <si>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</si>
  <si>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</si>
  <si>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</si>
  <si>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</si>
  <si>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</si>
  <si>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</si>
  <si>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</si>
  <si>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</si>
  <si>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</si>
  <si>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</si>
  <si>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</si>
  <si>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</si>
  <si>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</si>
  <si>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</si>
  <si>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</si>
  <si>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</si>
  <si>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</si>
  <si>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</si>
  <si>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</si>
  <si>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</si>
  <si>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</si>
  <si>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</si>
  <si>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</si>
  <si>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</si>
  <si>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</si>
  <si>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</si>
  <si>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</si>
  <si>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</si>
  <si>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</si>
  <si>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</si>
  <si>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</si>
  <si>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</si>
  <si>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</si>
  <si>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</si>
  <si>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</si>
  <si>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</si>
  <si>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</si>
  <si>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</si>
  <si>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</si>
  <si>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</si>
  <si>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</si>
  <si>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</si>
  <si>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</si>
  <si>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</si>
  <si>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</si>
  <si>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</si>
  <si>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</si>
  <si>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</si>
  <si>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</si>
  <si>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</si>
  <si>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</si>
  <si>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</si>
  <si>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</si>
  <si>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</si>
  <si>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</si>
  <si>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</si>
  <si>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</si>
  <si>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</si>
  <si>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</si>
  <si>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</si>
  <si>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</si>
  <si>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</si>
  <si>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</si>
  <si>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</si>
  <si>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</si>
  <si>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</si>
  <si>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</si>
  <si>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</si>
  <si>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</si>
  <si>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</si>
  <si>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</si>
  <si>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</si>
  <si>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</si>
  <si>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</si>
  <si>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</si>
  <si>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</si>
  <si>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</si>
  <si>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</si>
  <si>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</si>
  <si>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</si>
  <si>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</si>
  <si>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</si>
  <si>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</si>
  <si>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</si>
  <si>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</si>
  <si>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</si>
  <si>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</si>
  <si>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</si>
  <si>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</si>
  <si>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</si>
  <si>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</si>
  <si>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</si>
  <si>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</si>
  <si>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</si>
  <si>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</si>
  <si>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</si>
  <si>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</si>
  <si>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</si>
  <si>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</si>
  <si>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</si>
  <si>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</si>
  <si>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</si>
  <si>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</si>
  <si>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</si>
  <si>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</si>
  <si>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</si>
  <si>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</si>
  <si>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</si>
  <si>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</si>
  <si>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</si>
  <si>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</si>
  <si>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</si>
  <si>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</si>
  <si>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</si>
  <si>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</si>
  <si>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</si>
  <si>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</si>
  <si>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</si>
  <si>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</si>
  <si>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</si>
  <si>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</si>
  <si>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</si>
  <si>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</si>
  <si>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</si>
  <si>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</si>
  <si>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</si>
  <si>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</si>
  <si>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</si>
  <si>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</si>
  <si>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</si>
  <si>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</si>
  <si>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</si>
  <si>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</si>
  <si>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</si>
  <si>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</si>
  <si>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</si>
  <si>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</si>
  <si>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</si>
  <si>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</si>
  <si>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</si>
  <si>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</si>
  <si>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</si>
  <si>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</si>
  <si>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</si>
  <si>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</si>
  <si>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</si>
  <si>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</si>
  <si>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</si>
  <si>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</si>
  <si>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</si>
  <si>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</si>
  <si>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</si>
  <si>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</si>
  <si>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</si>
  <si>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</si>
  <si>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</si>
  <si>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</si>
  <si>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</si>
  <si>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</si>
  <si>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</si>
  <si>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</si>
  <si>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</si>
  <si>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</si>
  <si>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</si>
  <si>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</si>
  <si>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</si>
  <si>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</si>
  <si>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</si>
  <si>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</si>
  <si>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</si>
  <si>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</si>
  <si>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</si>
  <si>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</si>
  <si>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</si>
  <si>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</si>
  <si>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</si>
  <si>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</si>
  <si>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</si>
  <si>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</si>
  <si>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</si>
  <si>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</si>
  <si>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</si>
  <si>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</si>
  <si>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</si>
  <si>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</si>
  <si>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</si>
  <si>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</si>
  <si>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</si>
  <si>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</si>
  <si>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</si>
  <si>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</si>
  <si>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</si>
  <si>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</si>
  <si>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</si>
  <si>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</si>
  <si>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</si>
  <si>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</si>
  <si>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</si>
  <si>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</si>
  <si>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</si>
  <si>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</si>
  <si>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</si>
  <si>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</si>
  <si>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</si>
  <si>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</si>
  <si>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</si>
  <si>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</si>
  <si>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</si>
  <si>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</si>
  <si>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</si>
  <si>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</si>
  <si>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</si>
  <si>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</si>
  <si>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</si>
  <si>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</si>
  <si>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</si>
  <si>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</si>
  <si>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</si>
  <si>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</si>
  <si>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</si>
  <si>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</si>
  <si>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</si>
  <si>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</si>
  <si>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</si>
  <si>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</si>
  <si>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</si>
  <si>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</si>
  <si>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</si>
  <si>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</si>
  <si>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</si>
  <si>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</si>
  <si>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</si>
  <si>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</si>
  <si>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</si>
  <si>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</si>
  <si>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</si>
  <si>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</si>
  <si>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</si>
  <si>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</si>
  <si>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</si>
  <si>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</si>
  <si>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</si>
  <si>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</si>
  <si>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</si>
  <si>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</si>
  <si>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</si>
  <si>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</si>
  <si>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</si>
  <si>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</si>
  <si>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</si>
  <si>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</si>
  <si>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</si>
  <si>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</si>
  <si>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</si>
  <si>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</si>
  <si>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</si>
  <si>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</si>
  <si>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</si>
  <si>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</si>
  <si>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</si>
  <si>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</si>
  <si>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</si>
  <si>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</si>
  <si>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</si>
  <si>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</si>
  <si>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</si>
  <si>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</si>
  <si>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</si>
  <si>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</si>
  <si>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</si>
  <si>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</si>
  <si>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</si>
  <si>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</si>
  <si>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</si>
  <si>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</si>
  <si>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</si>
  <si>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</si>
  <si>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</si>
  <si>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</si>
  <si>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</si>
  <si>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</si>
  <si>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</si>
  <si>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</si>
  <si>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</si>
  <si>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</si>
  <si>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</si>
  <si>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</si>
  <si>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</si>
  <si>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</si>
  <si>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</si>
  <si>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</si>
  <si>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</si>
  <si>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</si>
  <si>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</si>
  <si>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</si>
  <si>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</si>
  <si>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</si>
  <si>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</si>
  <si>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</si>
  <si>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</si>
  <si>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</si>
  <si>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</si>
  <si>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</si>
  <si>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</si>
  <si>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</si>
  <si>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</si>
  <si>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</si>
  <si>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</si>
  <si>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</si>
  <si>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</si>
  <si>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</si>
  <si>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</si>
  <si>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</si>
  <si>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</si>
  <si>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</si>
  <si>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</si>
  <si>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</si>
  <si>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</si>
  <si>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</si>
  <si>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</si>
  <si>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</si>
  <si>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</si>
  <si>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</si>
  <si>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</si>
  <si>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</si>
  <si>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</si>
  <si>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</si>
  <si>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</si>
  <si>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</si>
  <si>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</si>
  <si>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</si>
  <si>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</si>
  <si>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</si>
  <si>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</si>
  <si>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</si>
  <si>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</si>
  <si>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</si>
  <si>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</si>
  <si>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</si>
  <si>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</si>
  <si>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</si>
  <si>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</si>
  <si>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</si>
  <si>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</si>
  <si>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</si>
  <si>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</si>
  <si>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</si>
  <si>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</si>
  <si>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</si>
  <si>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</si>
  <si>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</si>
  <si>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</si>
  <si>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</si>
  <si>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</si>
  <si>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</si>
  <si>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</si>
  <si>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</si>
  <si>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</si>
  <si>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</si>
  <si>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</si>
  <si>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</si>
  <si>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</si>
  <si>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</si>
  <si>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</si>
  <si>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</si>
  <si>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</si>
  <si>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</si>
  <si>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</si>
  <si>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</si>
  <si>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</si>
  <si>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</si>
  <si>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</si>
  <si>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</si>
  <si>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</si>
  <si>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</si>
  <si>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</si>
  <si>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</si>
  <si>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</si>
  <si>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</si>
  <si>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</si>
  <si>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</si>
  <si>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</si>
  <si>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</si>
  <si>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</si>
  <si>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</si>
  <si>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</si>
  <si>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</si>
  <si>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</si>
  <si>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</si>
  <si>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</si>
  <si>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</si>
  <si>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</si>
  <si>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</si>
  <si>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</si>
  <si>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</si>
  <si>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</si>
  <si>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</si>
  <si>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</si>
  <si>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</si>
  <si>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</si>
  <si>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</si>
  <si>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</si>
  <si>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</si>
  <si>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</si>
  <si>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</si>
  <si>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</si>
  <si>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</si>
  <si>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</si>
  <si>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</si>
  <si>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</si>
  <si>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</si>
  <si>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</si>
  <si>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</si>
  <si>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</si>
  <si>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</si>
  <si>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</si>
  <si>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</si>
  <si>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</si>
  <si>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</si>
  <si>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</si>
  <si>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</si>
  <si>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</si>
  <si>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</si>
  <si>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</si>
  <si>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</si>
  <si>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</si>
  <si>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</si>
  <si>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</si>
  <si>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</si>
  <si>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</si>
  <si>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</si>
  <si>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</si>
  <si>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</si>
  <si>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</si>
  <si>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</si>
  <si>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</si>
  <si>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</si>
  <si>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</si>
  <si>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</si>
  <si>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</si>
  <si>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</si>
  <si>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</si>
  <si>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</si>
  <si>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</si>
  <si>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</si>
  <si>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</si>
  <si>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</si>
  <si>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</si>
  <si>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</si>
  <si>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</si>
  <si>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</si>
  <si>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</si>
  <si>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</si>
  <si>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</si>
  <si>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</si>
  <si>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</si>
  <si>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</si>
  <si>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</si>
  <si>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</si>
  <si>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</si>
  <si>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</si>
  <si>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</si>
  <si>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</si>
  <si>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</si>
  <si>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</si>
  <si>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</si>
  <si>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</si>
  <si>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</si>
  <si>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</si>
  <si>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</si>
  <si>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</si>
  <si>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</si>
  <si>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</si>
  <si>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</si>
  <si>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</si>
  <si>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</si>
  <si>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</si>
  <si>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</si>
  <si>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</si>
  <si>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</si>
  <si>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</si>
  <si>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</si>
  <si>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</si>
  <si>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</si>
  <si>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</si>
  <si>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</si>
  <si>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</si>
  <si>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</si>
  <si>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</si>
  <si>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</si>
  <si>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</si>
  <si>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</si>
  <si>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</si>
  <si>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</si>
  <si>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</si>
  <si>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</si>
  <si>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</si>
  <si>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</si>
  <si>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</si>
  <si>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</si>
  <si>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</si>
  <si>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</si>
  <si>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</si>
  <si>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</si>
  <si>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</si>
  <si>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</si>
  <si>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</si>
  <si>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</si>
  <si>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</si>
  <si>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</si>
  <si>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</si>
  <si>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</si>
  <si>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</si>
  <si>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</si>
  <si>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</si>
  <si>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</si>
  <si>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</si>
  <si>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</si>
  <si>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</si>
  <si>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</si>
  <si>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</si>
  <si>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</si>
  <si>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</si>
  <si>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</si>
  <si>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</si>
  <si>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</si>
  <si>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</si>
  <si>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</si>
  <si>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</si>
  <si>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</si>
  <si>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</si>
  <si>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</si>
  <si>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</si>
  <si>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</si>
  <si>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</si>
  <si>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</si>
  <si>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</si>
  <si>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</si>
  <si>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</si>
  <si>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</si>
  <si>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</si>
  <si>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</si>
  <si>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</si>
  <si>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</si>
  <si>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</si>
  <si>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</si>
  <si>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</si>
  <si>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</si>
  <si>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</si>
  <si>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</si>
  <si>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</si>
  <si>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</si>
  <si>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</si>
  <si>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</si>
  <si>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</si>
  <si>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</si>
  <si>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</si>
  <si>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</si>
  <si>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</si>
  <si>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</si>
  <si>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</si>
  <si>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</si>
  <si>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</si>
  <si>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</si>
  <si>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</si>
  <si>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</si>
  <si>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</si>
  <si>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</si>
  <si>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</si>
  <si>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</si>
  <si>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</si>
  <si>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</si>
  <si>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</si>
  <si>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</si>
  <si>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</si>
  <si>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</si>
  <si>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</si>
  <si>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</si>
  <si>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</si>
  <si>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</si>
  <si>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</si>
  <si>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</si>
  <si>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</si>
  <si>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</si>
  <si>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</si>
  <si>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</si>
  <si>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</si>
  <si>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</si>
  <si>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</si>
  <si>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</si>
  <si>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</si>
  <si>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</si>
  <si>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</si>
  <si>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</si>
  <si>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</si>
  <si>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</si>
  <si>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</si>
  <si>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</si>
  <si>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</si>
  <si>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</si>
  <si>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</si>
  <si>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</si>
  <si>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</si>
  <si>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</si>
  <si>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</si>
  <si>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</si>
  <si>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</si>
  <si>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</si>
  <si>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</si>
  <si>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</si>
  <si>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</si>
  <si>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</si>
  <si>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</si>
  <si>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</si>
  <si>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</si>
  <si>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</si>
  <si>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</si>
  <si>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</si>
  <si>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</si>
  <si>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</si>
  <si>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</si>
  <si>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</si>
  <si>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</si>
  <si>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</si>
  <si>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</si>
  <si>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</si>
  <si>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</si>
  <si>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</si>
  <si>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</si>
  <si>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</si>
  <si>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</si>
  <si>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</si>
  <si>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</si>
  <si>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</si>
  <si>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</si>
  <si>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</si>
  <si>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</si>
  <si>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</si>
  <si>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</si>
  <si>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</si>
  <si>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</si>
  <si>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</si>
  <si>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</si>
  <si>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</si>
  <si>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</si>
  <si>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</si>
  <si>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</si>
  <si>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</si>
  <si>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</si>
  <si>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</si>
  <si>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</si>
  <si>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</si>
  <si>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</si>
  <si>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</si>
  <si>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</si>
  <si>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</si>
  <si>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</si>
  <si>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</si>
  <si>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</si>
  <si>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</si>
  <si>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</si>
  <si>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</si>
  <si>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</si>
  <si>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</si>
  <si>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</si>
  <si>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</si>
  <si>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</si>
  <si>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</si>
  <si>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</si>
  <si>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</si>
  <si>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</si>
  <si>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</si>
  <si>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</si>
  <si>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</si>
  <si>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</si>
  <si>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</si>
  <si>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</si>
  <si>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</si>
  <si>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</si>
  <si>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</si>
  <si>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</si>
  <si>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</si>
  <si>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</si>
  <si>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</si>
  <si>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</si>
  <si>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</si>
  <si>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</si>
  <si>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</si>
  <si>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</si>
  <si>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</si>
  <si>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</si>
  <si>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</si>
  <si>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</si>
  <si>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</si>
  <si>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</si>
  <si>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</si>
  <si>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</si>
  <si>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</si>
  <si>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</si>
  <si>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</si>
  <si>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</si>
  <si>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</si>
  <si>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</si>
  <si>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</si>
  <si>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</si>
  <si>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</si>
  <si>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</si>
  <si>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</si>
  <si>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</si>
  <si>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</si>
  <si>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</si>
  <si>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</si>
  <si>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</si>
  <si>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</si>
  <si>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</si>
  <si>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</si>
  <si>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</si>
  <si>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</si>
  <si>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</si>
  <si>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</si>
  <si>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</si>
  <si>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</si>
  <si>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</si>
  <si>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</si>
  <si>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</si>
  <si>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</si>
  <si>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</si>
  <si>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</si>
  <si>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</si>
  <si>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</si>
  <si>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</si>
  <si>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</si>
  <si>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</si>
  <si>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</si>
  <si>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</si>
  <si>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</si>
  <si>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</si>
  <si>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</si>
  <si>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</si>
  <si>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</si>
  <si>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</si>
  <si>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</si>
  <si>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</si>
  <si>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</si>
  <si>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</si>
  <si>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</si>
  <si>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</si>
  <si>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</si>
  <si>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</si>
  <si>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</si>
  <si>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</si>
  <si>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</si>
  <si>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</si>
  <si>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</si>
  <si>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</si>
  <si>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</si>
  <si>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</si>
  <si>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</si>
  <si>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</si>
  <si>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</si>
  <si>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</si>
  <si>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</si>
  <si>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</si>
  <si>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</si>
  <si>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</si>
  <si>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</si>
  <si>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</si>
  <si>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</si>
  <si>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</si>
  <si>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</si>
  <si>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</si>
  <si>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</si>
  <si>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</si>
  <si>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</si>
  <si>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</si>
  <si>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</si>
  <si>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</si>
  <si>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</si>
  <si>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</si>
  <si>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</si>
  <si>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</si>
  <si>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</si>
  <si>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</si>
  <si>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</si>
  <si>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</si>
  <si>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</si>
  <si>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</si>
  <si>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</si>
  <si>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</si>
  <si>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</si>
  <si>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</si>
  <si>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</si>
  <si>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</si>
  <si>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</si>
  <si>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</si>
  <si>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</si>
  <si>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</si>
  <si>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</si>
  <si>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</si>
  <si>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</si>
  <si>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</si>
  <si>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</si>
  <si>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</si>
  <si>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</si>
  <si>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</si>
  <si>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</si>
  <si>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</si>
  <si>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</si>
  <si>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</si>
  <si>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</si>
  <si>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</si>
  <si>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</si>
  <si>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</si>
  <si>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</si>
  <si>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</si>
  <si>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</si>
  <si>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</si>
  <si>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</si>
  <si>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</si>
  <si>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</si>
  <si>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</si>
  <si>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</si>
  <si>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</si>
  <si>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</si>
  <si>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</si>
  <si>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</si>
  <si>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</si>
  <si>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</si>
  <si>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</si>
  <si>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</si>
  <si>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</si>
  <si>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</si>
  <si>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</si>
  <si>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</si>
  <si>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</si>
  <si>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</si>
  <si>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</si>
  <si>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</si>
  <si>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</si>
  <si>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</si>
  <si>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</si>
  <si>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</si>
  <si>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</si>
  <si>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</si>
  <si>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</si>
  <si>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</si>
  <si>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</si>
  <si>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</si>
  <si>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</si>
  <si>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</si>
  <si>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</si>
  <si>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</si>
  <si>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</si>
  <si>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</si>
  <si>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</si>
  <si>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</si>
  <si>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</si>
  <si>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</si>
  <si>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</si>
  <si>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</si>
  <si>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</si>
  <si>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</si>
  <si>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</si>
  <si>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</si>
  <si>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</si>
  <si>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</si>
  <si>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</si>
  <si>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</si>
  <si>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</si>
  <si>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</si>
  <si>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</si>
  <si>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</si>
  <si>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</si>
  <si>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</si>
  <si>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</si>
  <si>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</si>
  <si>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</si>
  <si>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</si>
  <si>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</si>
  <si>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</si>
  <si>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</si>
  <si>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</si>
  <si>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</si>
  <si>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</si>
  <si>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</si>
  <si>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</si>
  <si>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</si>
  <si>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</si>
  <si>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</si>
  <si>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</si>
  <si>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</si>
  <si>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</si>
  <si>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</si>
  <si>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</si>
  <si>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</si>
  <si>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</si>
  <si>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</si>
  <si>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</si>
  <si>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</si>
  <si>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</si>
  <si>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</si>
  <si>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</si>
  <si>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</si>
  <si>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</si>
  <si>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</si>
  <si>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</si>
  <si>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</si>
  <si>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</si>
  <si>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</si>
  <si>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</si>
  <si>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</si>
  <si>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</si>
  <si>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</si>
  <si>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</si>
  <si>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</si>
  <si>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</si>
  <si>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</si>
  <si>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</si>
  <si>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</si>
  <si>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</si>
  <si>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</si>
  <si>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</si>
  <si>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</si>
  <si>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</si>
  <si>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</si>
  <si>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</si>
  <si>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</si>
  <si>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</si>
  <si>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</si>
  <si>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</si>
  <si>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</si>
  <si>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</si>
  <si>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</si>
  <si>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</si>
  <si>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</si>
  <si>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</si>
  <si>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</si>
  <si>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</si>
  <si>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</si>
  <si>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</si>
  <si>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</si>
  <si>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</si>
  <si>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</si>
  <si>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</si>
  <si>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</si>
  <si>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</si>
  <si>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</si>
  <si>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</si>
  <si>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</si>
  <si>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</si>
  <si>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</si>
  <si>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</si>
  <si>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</si>
  <si>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</si>
  <si>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</si>
  <si>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</si>
  <si>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</si>
  <si>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</si>
  <si>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</si>
  <si>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</si>
  <si>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</si>
  <si>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</si>
  <si>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</si>
  <si>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</si>
  <si>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</si>
  <si>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</si>
  <si>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</si>
  <si>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</si>
  <si>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</si>
  <si>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</si>
  <si>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</si>
  <si>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</si>
  <si>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</si>
  <si>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</si>
  <si>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</si>
  <si>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</si>
  <si>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</si>
  <si>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</si>
  <si>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</si>
  <si>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</si>
  <si>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</si>
  <si>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</si>
  <si>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</si>
  <si>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</si>
  <si>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</si>
  <si>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</si>
  <si>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</si>
  <si>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</si>
  <si>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</si>
  <si>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</si>
  <si>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</si>
  <si>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</si>
  <si>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</si>
  <si>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</si>
  <si>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</si>
  <si>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</si>
  <si>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</si>
  <si>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</si>
  <si>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</si>
  <si>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</si>
  <si>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</si>
  <si>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</si>
  <si>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</si>
  <si>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</si>
  <si>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</si>
  <si>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</si>
  <si>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</si>
  <si>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</si>
  <si>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</si>
  <si>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</si>
  <si>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</si>
  <si>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</si>
  <si>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</si>
  <si>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</si>
  <si>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</si>
  <si>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</si>
  <si>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</si>
  <si>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</si>
  <si>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</si>
  <si>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</si>
  <si>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</si>
  <si>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</si>
  <si>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</si>
  <si>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</si>
  <si>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</si>
  <si>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</si>
  <si>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</si>
  <si>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</si>
  <si>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</si>
  <si>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</si>
  <si>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</si>
  <si>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</si>
  <si>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</si>
  <si>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</si>
  <si>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</si>
  <si>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</si>
  <si>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</si>
  <si>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</si>
  <si>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</si>
  <si>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</si>
  <si>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</si>
  <si>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</si>
  <si>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</si>
  <si>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</si>
  <si>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</si>
  <si>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</si>
  <si>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</si>
  <si>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</si>
  <si>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</si>
  <si>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</si>
  <si>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</si>
  <si>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</si>
  <si>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</si>
  <si>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</si>
  <si>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</si>
  <si>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</si>
  <si>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</si>
  <si>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</si>
  <si>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</si>
  <si>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</si>
  <si>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</si>
  <si>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</si>
  <si>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</si>
  <si>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</si>
  <si>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</si>
  <si>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</si>
  <si>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</si>
  <si>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</si>
  <si>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</si>
  <si>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</si>
  <si>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</si>
  <si>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</si>
  <si>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</si>
  <si>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</si>
  <si>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</si>
  <si>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</si>
  <si>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</si>
  <si>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</si>
  <si>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</si>
  <si>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</si>
  <si>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</si>
  <si>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</si>
  <si>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</si>
  <si>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</si>
  <si>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</si>
  <si>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</si>
  <si>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</si>
  <si>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</si>
  <si>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</si>
  <si>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</si>
  <si>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</si>
  <si>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</si>
  <si>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</si>
  <si>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</si>
  <si>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</si>
  <si>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</si>
  <si>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</si>
  <si>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</si>
  <si>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</si>
  <si>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</si>
  <si>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</si>
  <si>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</si>
  <si>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</si>
  <si>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</si>
  <si>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</si>
  <si>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</si>
  <si>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</si>
  <si>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</si>
  <si>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</si>
  <si>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</si>
  <si>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</si>
  <si>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</si>
  <si>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</si>
  <si>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</si>
  <si>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</si>
  <si>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</si>
  <si>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</si>
  <si>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</si>
  <si>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</si>
  <si>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</si>
  <si>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</si>
  <si>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</si>
  <si>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</si>
  <si>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</si>
  <si>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</si>
  <si>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</si>
  <si>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</si>
  <si>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</si>
  <si>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</si>
  <si>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</si>
  <si>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</si>
  <si>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</si>
  <si>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</si>
  <si>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</si>
  <si>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</si>
  <si>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</si>
  <si>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</si>
  <si>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</si>
  <si>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</si>
  <si>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</si>
  <si>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</si>
  <si>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</si>
  <si>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</si>
  <si>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</si>
  <si>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</si>
  <si>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</si>
  <si>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</si>
  <si>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</si>
  <si>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</si>
  <si>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</si>
  <si>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</si>
  <si>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</si>
  <si>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</si>
  <si>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</si>
  <si>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</si>
  <si>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</si>
  <si>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</si>
  <si>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</si>
  <si>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</si>
  <si>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</si>
  <si>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</si>
  <si>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</si>
  <si>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</si>
  <si>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</si>
  <si>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</si>
  <si>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</si>
  <si>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</si>
  <si>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</si>
  <si>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</si>
  <si>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</si>
  <si>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</si>
  <si>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</si>
  <si>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</si>
  <si>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</si>
  <si>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</si>
  <si>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</si>
  <si>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</si>
  <si>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</si>
  <si>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</si>
  <si>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</si>
  <si>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</si>
  <si>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</si>
  <si>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</si>
  <si>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</si>
  <si>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</si>
  <si>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</si>
  <si>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</si>
  <si>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</si>
  <si>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</si>
  <si>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</si>
  <si>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</si>
  <si>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</si>
  <si>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</si>
  <si>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</si>
  <si>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</si>
  <si>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</si>
  <si>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</si>
  <si>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</si>
  <si>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</si>
  <si>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</si>
  <si>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</si>
  <si>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</si>
  <si>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</si>
  <si>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</si>
  <si>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</si>
  <si>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</si>
  <si>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</si>
  <si>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</si>
  <si>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</si>
  <si>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</si>
  <si>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</si>
  <si>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</si>
  <si>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</si>
  <si>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</si>
  <si>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</si>
  <si>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</si>
  <si>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</si>
  <si>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</si>
  <si>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</si>
  <si>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</si>
  <si>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</si>
  <si>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</si>
  <si>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</si>
  <si>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</si>
  <si>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</si>
  <si>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</si>
  <si>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</si>
  <si>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</si>
  <si>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</si>
  <si>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</si>
  <si>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</si>
  <si>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</si>
  <si>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</si>
  <si>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</si>
  <si>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</si>
  <si>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</si>
  <si>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</si>
  <si>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</si>
  <si>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</si>
  <si>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</si>
  <si>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</si>
  <si>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</si>
  <si>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</si>
  <si>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</si>
  <si>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</si>
  <si>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</si>
  <si>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</si>
  <si>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</si>
  <si>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</si>
  <si>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</si>
  <si>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</si>
  <si>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</si>
  <si>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</si>
  <si>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</si>
  <si>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</si>
  <si>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</si>
  <si>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</si>
  <si>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</si>
  <si>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</si>
  <si>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</si>
  <si>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</si>
  <si>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</si>
  <si>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</si>
  <si>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</si>
  <si>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</si>
  <si>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</si>
  <si>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</si>
  <si>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</si>
  <si>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</si>
  <si>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</si>
  <si>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</si>
  <si>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</si>
  <si>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</si>
  <si>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</si>
  <si>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</si>
  <si>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</si>
  <si>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</si>
  <si>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</si>
  <si>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</si>
  <si>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</si>
  <si>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</si>
  <si>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</si>
  <si>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</si>
  <si>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</si>
  <si>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</si>
  <si>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</si>
  <si>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</si>
  <si>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</si>
  <si>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</si>
  <si>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</si>
  <si>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</si>
  <si>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</si>
  <si>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</si>
  <si>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</si>
  <si>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</si>
  <si>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</si>
  <si>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</si>
  <si>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</si>
  <si>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</si>
  <si>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</si>
  <si>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</si>
  <si>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</si>
  <si>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</si>
  <si>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</si>
  <si>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</si>
  <si>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</si>
  <si>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</si>
  <si>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</si>
  <si>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</si>
  <si>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</si>
  <si>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</si>
  <si>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</si>
  <si>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</si>
  <si>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</si>
  <si>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</si>
  <si>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</si>
  <si>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</si>
  <si>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</si>
  <si>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</si>
  <si>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</si>
  <si>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</si>
  <si>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</si>
  <si>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</si>
  <si>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</si>
  <si>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</si>
  <si>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</si>
  <si>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</si>
  <si>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</si>
  <si>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</si>
  <si>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</si>
  <si>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</si>
  <si>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</si>
  <si>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</si>
  <si>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</si>
  <si>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</si>
  <si>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</si>
  <si>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</si>
  <si>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</si>
  <si>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</si>
  <si>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</si>
  <si>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</si>
  <si>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</si>
  <si>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</si>
  <si>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</si>
  <si>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</si>
  <si>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</si>
  <si>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</si>
  <si>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</si>
  <si>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</si>
  <si>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</si>
  <si>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</si>
  <si>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</si>
  <si>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</si>
  <si>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</si>
  <si>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</si>
  <si>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</si>
  <si>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</si>
  <si>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</si>
  <si>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</si>
  <si>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</si>
  <si>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</si>
  <si>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</si>
  <si>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</si>
  <si>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</si>
  <si>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</si>
  <si>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</si>
  <si>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</si>
  <si>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</si>
  <si>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</si>
  <si>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</si>
  <si>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</si>
  <si>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</si>
  <si>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</si>
  <si>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</si>
  <si>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</si>
  <si>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</si>
  <si>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</si>
  <si>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</si>
  <si>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</si>
  <si>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</si>
  <si>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</si>
  <si>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</si>
  <si>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</si>
  <si>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</si>
  <si>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</si>
  <si>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</si>
  <si>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</si>
  <si>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</si>
  <si>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</si>
  <si>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</si>
  <si>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</si>
  <si>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</si>
  <si>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</si>
  <si>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</si>
  <si>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</si>
  <si>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</si>
  <si>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</si>
  <si>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</si>
  <si>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</si>
  <si>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</si>
  <si>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</si>
  <si>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</si>
  <si>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</si>
  <si>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</si>
  <si>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</si>
  <si>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</si>
  <si>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</si>
  <si>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</si>
  <si>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</si>
  <si>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</si>
  <si>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</si>
  <si>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</si>
  <si>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</si>
  <si>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</si>
  <si>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</si>
  <si>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</si>
  <si>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</si>
  <si>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</si>
  <si>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</si>
  <si>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</si>
  <si>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</si>
  <si>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</si>
  <si>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</si>
  <si>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</si>
  <si>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</si>
  <si>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</si>
  <si>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</si>
  <si>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</si>
  <si>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</si>
  <si>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</si>
  <si>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</si>
  <si>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</si>
  <si>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</si>
  <si>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</si>
  <si>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</si>
  <si>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</si>
  <si>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</si>
  <si>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</si>
  <si>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</si>
  <si>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</si>
  <si>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</si>
  <si>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</si>
  <si>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</si>
  <si>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</si>
  <si>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</si>
  <si>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</si>
  <si>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</si>
  <si>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</si>
  <si>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</si>
  <si>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</si>
  <si>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</si>
  <si>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</si>
  <si>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</si>
  <si>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</si>
  <si>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</si>
  <si>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</si>
  <si>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</si>
  <si>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</si>
  <si>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</si>
  <si>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</si>
  <si>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</si>
  <si>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</si>
  <si>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</si>
  <si>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</si>
  <si>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</si>
  <si>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</si>
  <si>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</si>
  <si>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</si>
  <si>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</si>
  <si>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</si>
  <si>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</si>
  <si>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</si>
  <si>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</si>
  <si>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</si>
  <si>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</si>
  <si>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</si>
  <si>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</si>
  <si>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</si>
  <si>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</si>
  <si>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</si>
  <si>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</si>
  <si>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</si>
  <si>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</si>
  <si>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</si>
  <si>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</si>
  <si>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</si>
  <si>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</si>
  <si>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</si>
  <si>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</si>
  <si>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</si>
  <si>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</si>
  <si>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</si>
  <si>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</si>
  <si>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</si>
  <si>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</si>
  <si>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</si>
  <si>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</si>
  <si>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</si>
  <si>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</si>
  <si>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</si>
  <si>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</si>
  <si>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</si>
  <si>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</si>
  <si>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</si>
  <si>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</si>
  <si>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</si>
  <si>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</si>
  <si>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</si>
  <si>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</si>
  <si>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</si>
  <si>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</si>
  <si>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</si>
  <si>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</si>
  <si>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</si>
  <si>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</si>
  <si>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</si>
  <si>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</si>
  <si>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</si>
  <si>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</si>
  <si>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</si>
  <si>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</si>
  <si>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</si>
  <si>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</si>
  <si>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</si>
  <si>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</si>
  <si>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</si>
  <si>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</si>
  <si>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</si>
  <si>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</si>
  <si>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</si>
  <si>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</si>
  <si>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</si>
  <si>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</si>
  <si>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</si>
  <si>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</si>
  <si>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</si>
  <si>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</si>
  <si>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</si>
  <si>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</si>
  <si>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</si>
  <si>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</si>
  <si>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</si>
  <si>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</si>
  <si>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</si>
  <si>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</si>
  <si>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</si>
  <si>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</si>
  <si>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</si>
  <si>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</si>
  <si>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</si>
  <si>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</si>
  <si>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</si>
  <si>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</si>
  <si>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</si>
  <si>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</si>
  <si>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</si>
  <si>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</si>
  <si>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</si>
  <si>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</si>
  <si>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</si>
  <si>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</si>
  <si>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</si>
  <si>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</si>
  <si>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</si>
  <si>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</si>
  <si>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</si>
  <si>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</si>
  <si>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</si>
  <si>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</si>
  <si>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</si>
  <si>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</si>
  <si>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</si>
  <si>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</si>
  <si>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</si>
  <si>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</si>
  <si>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</si>
  <si>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</si>
  <si>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</si>
  <si>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</si>
  <si>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</si>
  <si>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</si>
  <si>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</si>
  <si>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</si>
  <si>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</si>
  <si>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</si>
  <si>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</si>
  <si>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</si>
  <si>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</si>
  <si>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</si>
  <si>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</si>
  <si>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</si>
  <si>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</si>
  <si>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</si>
  <si>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</si>
  <si>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</si>
  <si>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</si>
  <si>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</si>
  <si>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</si>
  <si>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</si>
  <si>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</si>
  <si>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</si>
  <si>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</si>
  <si>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</si>
  <si>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</si>
  <si>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</si>
  <si>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</si>
  <si>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</si>
  <si>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</si>
  <si>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</si>
  <si>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</si>
  <si>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</si>
  <si>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</si>
  <si>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</si>
  <si>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</si>
  <si>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</si>
  <si>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</si>
  <si>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</si>
  <si>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</si>
  <si>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</si>
  <si>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</si>
  <si>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</si>
  <si>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</si>
  <si>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</si>
  <si>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</si>
  <si>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</si>
  <si>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</si>
  <si>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</si>
  <si>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</si>
  <si>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</si>
  <si>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</si>
  <si>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</si>
  <si>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</si>
  <si>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</si>
  <si>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</si>
  <si>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</si>
  <si>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</si>
  <si>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</si>
  <si>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</si>
  <si>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</si>
  <si>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</si>
  <si>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</si>
  <si>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</si>
  <si>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</si>
  <si>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</si>
  <si>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</si>
  <si>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</si>
  <si>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</si>
  <si>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</si>
  <si>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</si>
  <si>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</si>
  <si>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</si>
  <si>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</si>
  <si>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</si>
  <si>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</si>
  <si>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</si>
  <si>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</si>
  <si>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</si>
  <si>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</si>
  <si>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</si>
  <si>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</si>
  <si>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</si>
  <si>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</si>
  <si>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</si>
  <si>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</si>
  <si>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</si>
  <si>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</si>
  <si>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</si>
  <si>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</si>
  <si>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</si>
  <si>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</si>
  <si>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</si>
  <si>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</si>
  <si>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</si>
  <si>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</si>
  <si>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</si>
  <si>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</si>
  <si>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</si>
  <si>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</si>
  <si>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</si>
  <si>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</si>
  <si>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</si>
  <si>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</si>
  <si>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</si>
  <si>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</si>
  <si>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</si>
  <si>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</si>
  <si>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</si>
  <si>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</si>
  <si>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</si>
  <si>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</si>
  <si>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</si>
  <si>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</si>
  <si>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</si>
  <si>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</si>
  <si>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</si>
  <si>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</si>
  <si>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</si>
  <si>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</si>
  <si>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</si>
  <si>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</si>
  <si>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</si>
  <si>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</si>
  <si>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</si>
  <si>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</si>
  <si>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</si>
  <si>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</si>
  <si>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</si>
  <si>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</si>
  <si>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</si>
  <si>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</si>
  <si>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</si>
  <si>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</si>
  <si>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</si>
  <si>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</si>
  <si>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</si>
  <si>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</si>
  <si>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</si>
  <si>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</si>
  <si>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</si>
  <si>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</si>
  <si>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</si>
  <si>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</si>
  <si>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</si>
  <si>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</si>
  <si>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</si>
  <si>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</si>
  <si>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</si>
  <si>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</si>
  <si>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</si>
  <si>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</si>
  <si>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</si>
  <si>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</si>
  <si>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</si>
  <si>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</si>
  <si>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</si>
  <si>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</si>
  <si>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</si>
  <si>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</si>
  <si>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</si>
  <si>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</si>
  <si>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</si>
  <si>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</si>
  <si>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</si>
  <si>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</si>
  <si>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</si>
  <si>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</si>
  <si>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</si>
  <si>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</si>
  <si>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</si>
  <si>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</si>
  <si>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</si>
  <si>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</si>
  <si>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</si>
  <si>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</si>
  <si>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</si>
  <si>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</si>
  <si>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</si>
  <si>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</si>
  <si>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</si>
  <si>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</si>
  <si>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</si>
  <si>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</si>
  <si>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</si>
  <si>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</si>
  <si>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</si>
  <si>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</si>
  <si>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</si>
  <si>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</si>
  <si>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</si>
  <si>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</si>
  <si>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</si>
  <si>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</si>
  <si>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</si>
  <si>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</si>
  <si>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</si>
  <si>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</si>
  <si>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</si>
  <si>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</si>
  <si>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</si>
  <si>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</si>
  <si>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</si>
  <si>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</si>
  <si>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</si>
  <si>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</si>
  <si>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</si>
  <si>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</si>
  <si>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</si>
  <si>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</si>
  <si>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</si>
  <si>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</si>
  <si>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</si>
  <si>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</si>
  <si>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</si>
  <si>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</si>
  <si>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</si>
  <si>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</si>
  <si>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</si>
  <si>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</si>
  <si>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</si>
  <si>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</si>
  <si>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</si>
  <si>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</si>
  <si>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</si>
  <si>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</si>
  <si>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</si>
  <si>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</si>
  <si>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</si>
  <si>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</si>
  <si>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</si>
  <si>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</si>
  <si>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</si>
  <si>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</si>
  <si>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</si>
  <si>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</si>
  <si>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</si>
  <si>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</si>
  <si>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</si>
  <si>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</si>
  <si>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</si>
  <si>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</si>
  <si>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</si>
  <si>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</si>
  <si>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</si>
  <si>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</si>
  <si>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</si>
  <si>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</si>
  <si>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</si>
  <si>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</si>
  <si>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</si>
  <si>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</si>
  <si>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</si>
  <si>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</si>
  <si>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</si>
  <si>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</si>
  <si>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</si>
  <si>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</si>
  <si>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</si>
  <si>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</si>
  <si>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</si>
  <si>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</si>
  <si>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</si>
  <si>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</si>
  <si>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</si>
  <si>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</si>
  <si>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</si>
  <si>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</si>
  <si>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</si>
  <si>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</si>
  <si>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</si>
  <si>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</si>
  <si>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</si>
  <si>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</si>
  <si>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</si>
  <si>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</si>
  <si>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</si>
  <si>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</si>
  <si>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</si>
  <si>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</si>
  <si>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</si>
  <si>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</si>
  <si>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</si>
  <si>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</si>
  <si>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</si>
  <si>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</si>
  <si>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</si>
  <si>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</si>
  <si>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</si>
  <si>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</si>
  <si>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</si>
  <si>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</si>
  <si>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</si>
  <si>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</si>
  <si>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</si>
  <si>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</si>
  <si>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</si>
  <si>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</si>
  <si>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</si>
  <si>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</si>
  <si>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</si>
  <si>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</si>
  <si>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</si>
  <si>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</si>
  <si>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</si>
  <si>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</si>
  <si>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</si>
  <si>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</si>
  <si>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</si>
  <si>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</si>
  <si>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</si>
  <si>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</si>
  <si>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</si>
  <si>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</si>
  <si>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</si>
  <si>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</si>
  <si>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</si>
  <si>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</si>
  <si>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</si>
  <si>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</si>
  <si>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</si>
  <si>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</si>
  <si>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</si>
  <si>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</si>
  <si>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</si>
  <si>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</si>
  <si>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</si>
  <si>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</si>
  <si>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</si>
  <si>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</si>
  <si>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</si>
  <si>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</si>
  <si>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</si>
  <si>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</si>
  <si>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</si>
  <si>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</si>
  <si>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</si>
  <si>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</si>
  <si>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</si>
  <si>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</si>
  <si>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</si>
  <si>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</si>
  <si>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</si>
  <si>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</si>
  <si>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</si>
  <si>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</si>
  <si>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</si>
  <si>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</si>
  <si>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</si>
  <si>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</si>
  <si>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</si>
  <si>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</si>
  <si>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</si>
  <si>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</si>
  <si>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</si>
  <si>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</si>
  <si>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</si>
  <si>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</si>
  <si>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</si>
  <si>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</si>
  <si>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</si>
  <si>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</si>
  <si>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</si>
  <si>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</si>
  <si>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</si>
  <si>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</si>
  <si>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</si>
  <si>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</si>
  <si>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</si>
  <si>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</si>
  <si>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</si>
  <si>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</si>
  <si>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</si>
  <si>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</si>
  <si>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</si>
  <si>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</si>
  <si>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</si>
  <si>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</si>
  <si>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</si>
  <si>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</si>
  <si>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</si>
  <si>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</si>
  <si>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</si>
  <si>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</si>
  <si>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</si>
  <si>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</si>
  <si>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</si>
  <si>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</si>
  <si>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</si>
  <si>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</si>
  <si>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</si>
  <si>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</si>
  <si>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</si>
  <si>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</si>
  <si>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</si>
  <si>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</si>
  <si>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</si>
  <si>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</si>
  <si>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</si>
  <si>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</si>
  <si>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</si>
  <si>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</si>
  <si>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</si>
  <si>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</si>
  <si>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</si>
  <si>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</si>
  <si>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</si>
  <si>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</si>
  <si>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</si>
  <si>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</si>
  <si>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</si>
  <si>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</si>
  <si>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</si>
  <si>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</si>
  <si>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</si>
  <si>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</si>
  <si>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</si>
  <si>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</si>
  <si>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</si>
  <si>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</si>
  <si>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</si>
  <si>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</si>
  <si>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</si>
  <si>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</si>
  <si>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</si>
  <si>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</si>
  <si>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</si>
  <si>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</si>
  <si>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</si>
  <si>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</si>
  <si>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</si>
  <si>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</si>
  <si>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</si>
  <si>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</si>
  <si>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</si>
  <si>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</si>
  <si>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</si>
  <si>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</si>
  <si>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</si>
  <si>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</si>
  <si>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</si>
  <si>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</si>
  <si>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</si>
  <si>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</si>
  <si>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</si>
  <si>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</si>
  <si>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</si>
  <si>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</si>
  <si>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</si>
  <si>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</si>
  <si>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</si>
  <si>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</si>
  <si>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</si>
  <si>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</si>
  <si>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</si>
  <si>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</si>
  <si>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</si>
  <si>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</si>
  <si>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</si>
  <si>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</si>
  <si>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</si>
  <si>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</si>
  <si>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</si>
  <si>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</si>
  <si>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</si>
  <si>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</si>
  <si>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</si>
  <si>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</si>
  <si>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</si>
  <si>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</si>
  <si>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</si>
  <si>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</si>
  <si>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</si>
  <si>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</si>
  <si>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</si>
  <si>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</si>
  <si>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</si>
  <si>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</si>
  <si>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</si>
  <si>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</si>
  <si>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</si>
  <si>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</si>
  <si>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</si>
  <si>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</si>
  <si>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</si>
  <si>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</si>
  <si>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</si>
  <si>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</si>
  <si>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</si>
  <si>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</si>
  <si>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</si>
  <si>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</si>
  <si>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</si>
  <si>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</si>
  <si>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</si>
  <si>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</si>
  <si>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</si>
  <si>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</si>
  <si>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</si>
  <si>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</si>
  <si>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</si>
  <si>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</si>
  <si>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</si>
  <si>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</si>
  <si>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</si>
  <si>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</si>
  <si>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</si>
  <si>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</si>
  <si>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</si>
  <si>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</si>
  <si>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</si>
  <si>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</si>
  <si>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</si>
  <si>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</si>
  <si>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</si>
  <si>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</si>
  <si>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</si>
  <si>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</si>
  <si>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</si>
  <si>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</si>
  <si>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</si>
  <si>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</si>
  <si>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</si>
  <si>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</si>
  <si>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</si>
  <si>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</si>
  <si>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</si>
  <si>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</si>
  <si>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</si>
  <si>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</si>
  <si>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</si>
  <si>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</si>
  <si>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</si>
  <si>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</si>
  <si>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</si>
  <si>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</si>
  <si>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</si>
  <si>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</si>
  <si>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</si>
  <si>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</si>
  <si>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</si>
  <si>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</si>
  <si>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</si>
  <si>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</si>
  <si>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</si>
  <si>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</si>
  <si>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</si>
  <si>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</si>
  <si>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</si>
  <si>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</si>
  <si>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</si>
  <si>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</si>
  <si>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</si>
  <si>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</si>
  <si>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</si>
  <si>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</si>
  <si>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</si>
  <si>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</si>
  <si>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</si>
  <si>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</si>
  <si>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</si>
  <si>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</si>
  <si>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</si>
  <si>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</si>
  <si>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</si>
  <si>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</si>
  <si>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</si>
  <si>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</si>
  <si>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</si>
  <si>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</si>
  <si>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</si>
  <si>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</si>
  <si>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</si>
  <si>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</si>
  <si>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</si>
  <si>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</si>
  <si>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</si>
  <si>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</si>
  <si>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</si>
  <si>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</si>
  <si>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</si>
  <si>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</si>
  <si>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</si>
  <si>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</si>
  <si>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</si>
  <si>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</si>
  <si>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</si>
  <si>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</si>
  <si>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</si>
  <si>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</si>
  <si>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</si>
  <si>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</si>
  <si>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</si>
  <si>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</si>
  <si>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</si>
  <si>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</si>
  <si>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</si>
  <si>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</si>
  <si>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</si>
  <si>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</si>
  <si>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</si>
  <si>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</si>
  <si>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</si>
  <si>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</si>
  <si>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</si>
  <si>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</si>
  <si>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</si>
  <si>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</si>
  <si>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</si>
  <si>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</si>
  <si>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</si>
  <si>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</si>
  <si>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</si>
  <si>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</si>
  <si>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</si>
  <si>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</si>
  <si>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</si>
  <si>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</si>
  <si>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</si>
  <si>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</si>
  <si>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</si>
  <si>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</si>
  <si>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</si>
  <si>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</si>
  <si>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</si>
  <si>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</si>
  <si>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</si>
  <si>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</si>
  <si>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</si>
  <si>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</si>
  <si>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</si>
  <si>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</si>
  <si>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</si>
  <si>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</si>
  <si>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</si>
  <si>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</si>
  <si>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</si>
  <si>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</si>
  <si>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</si>
  <si>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</si>
  <si>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</si>
  <si>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</si>
  <si>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</si>
  <si>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</si>
  <si>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</si>
  <si>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</si>
  <si>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</si>
  <si>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</si>
  <si>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</si>
  <si>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</si>
  <si>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</si>
  <si>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</si>
  <si>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</si>
  <si>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</si>
  <si>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</si>
  <si>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</si>
  <si>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</si>
  <si>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</si>
  <si>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</si>
  <si>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</si>
  <si>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</si>
  <si>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</si>
  <si>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</si>
  <si>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</si>
  <si>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</si>
  <si>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</si>
  <si>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</si>
  <si>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</si>
  <si>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</si>
  <si>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</si>
  <si>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</si>
  <si>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</si>
  <si>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</si>
  <si>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</si>
  <si>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</si>
  <si>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</si>
  <si>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</si>
  <si>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</si>
  <si>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</si>
  <si>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</si>
  <si>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</si>
  <si>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</si>
  <si>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</si>
  <si>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</si>
  <si>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</si>
  <si>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</si>
  <si>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</si>
  <si>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</si>
  <si>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</si>
  <si>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</si>
  <si>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</si>
  <si>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</si>
  <si>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</si>
  <si>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</si>
  <si>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</si>
  <si>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</si>
  <si>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</si>
  <si>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</si>
  <si>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</si>
  <si>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</si>
  <si>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</si>
  <si>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</si>
  <si>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</si>
  <si>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</si>
  <si>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</si>
  <si>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</si>
  <si>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</si>
  <si>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</si>
  <si>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</si>
  <si>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</si>
  <si>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</si>
  <si>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</si>
  <si>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</si>
  <si>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</si>
  <si>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</si>
  <si>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</si>
  <si>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</si>
  <si>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</si>
  <si>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</si>
  <si>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</si>
  <si>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</si>
  <si>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</si>
  <si>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</si>
  <si>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</si>
  <si>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</si>
  <si>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</si>
  <si>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</si>
  <si>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</si>
  <si>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</si>
  <si>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</si>
  <si>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</si>
  <si>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</si>
  <si>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</si>
  <si>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</si>
  <si>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</si>
  <si>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</si>
  <si>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</si>
  <si>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</si>
  <si>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</si>
  <si>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</si>
  <si>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</si>
  <si>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</si>
  <si>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</si>
  <si>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</si>
  <si>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</si>
  <si>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</si>
  <si>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</si>
  <si>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</si>
  <si>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</si>
  <si>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</si>
  <si>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</si>
  <si>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</si>
  <si>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</si>
  <si>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</si>
  <si>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</si>
  <si>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</si>
  <si>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</si>
  <si>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</si>
  <si>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</si>
  <si>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</si>
  <si>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</si>
  <si>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</si>
  <si>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</si>
  <si>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</si>
  <si>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</si>
  <si>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</si>
  <si>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</si>
  <si>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</si>
  <si>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</si>
  <si>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</si>
  <si>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</si>
  <si>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</si>
  <si>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</si>
  <si>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</si>
  <si>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</si>
  <si>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</si>
  <si>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</si>
  <si>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</si>
  <si>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</si>
  <si>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</si>
  <si>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</si>
  <si>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</si>
  <si>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</si>
  <si>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</si>
  <si>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</si>
  <si>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</si>
  <si>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</si>
  <si>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</si>
  <si>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</si>
  <si>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</si>
  <si>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</si>
  <si>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</si>
  <si>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</si>
  <si>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</si>
  <si>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</si>
  <si>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</si>
  <si>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</si>
  <si>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</si>
  <si>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</si>
  <si>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</si>
  <si>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</si>
  <si>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</si>
  <si>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</si>
  <si>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</si>
  <si>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</si>
  <si>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</si>
  <si>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</si>
  <si>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</si>
  <si>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</si>
  <si>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</si>
  <si>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</si>
  <si>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</si>
  <si>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</si>
  <si>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</si>
  <si>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</si>
  <si>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</si>
  <si>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</si>
  <si>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</si>
  <si>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</si>
  <si>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</si>
  <si>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</si>
  <si>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</si>
  <si>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</si>
  <si>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</si>
  <si>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</si>
  <si>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</si>
  <si>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</si>
  <si>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</si>
  <si>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</si>
  <si>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</si>
  <si>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</si>
  <si>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</si>
  <si>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</si>
  <si>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</si>
  <si>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</si>
  <si>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</si>
  <si>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</si>
  <si>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</si>
  <si>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</si>
  <si>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</si>
  <si>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</si>
  <si>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</si>
  <si>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抵押</t>
  </si>
  <si>
    <t>商业项目</t>
  </si>
  <si>
    <t>现房</t>
  </si>
  <si>
    <t>1层</t>
  </si>
  <si>
    <t>2层</t>
  </si>
  <si>
    <t>地下1层</t>
  </si>
  <si>
    <t>地上</t>
  </si>
  <si>
    <t>地下</t>
  </si>
  <si>
    <t>钢混</t>
  </si>
  <si>
    <t>押一</t>
  </si>
  <si>
    <t>比较法-商业</t>
  </si>
  <si>
    <t>1层</t>
    <phoneticPr fontId="34" type="noConversion"/>
  </si>
  <si>
    <r>
      <t>2</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</si>
  <si>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</si>
  <si>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</si>
  <si>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</si>
  <si>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t>租赁期限</t>
    <phoneticPr fontId="205" type="noConversion"/>
  </si>
  <si>
    <t>递增</t>
    <phoneticPr fontId="205" type="noConversion"/>
  </si>
  <si>
    <t>起始租赁</t>
    <phoneticPr fontId="205" type="noConversion"/>
  </si>
  <si>
    <t>租期合计</t>
    <phoneticPr fontId="205" type="noConversion"/>
  </si>
  <si>
    <t>平均租金</t>
    <phoneticPr fontId="205" type="noConversion"/>
  </si>
  <si>
    <r>
      <t>元/平方米</t>
    </r>
    <r>
      <rPr>
        <sz val="11"/>
        <color theme="1"/>
        <rFont val="宋体"/>
        <family val="3"/>
        <charset val="134"/>
        <scheme val="minor"/>
      </rPr>
      <t>/天</t>
    </r>
    <phoneticPr fontId="205" type="noConversion"/>
  </si>
  <si>
    <t>刘梅</t>
  </si>
  <si>
    <t>吴薇</t>
  </si>
  <si>
    <t>李斌</t>
    <phoneticPr fontId="6" type="noConversion"/>
  </si>
  <si>
    <t>民生银行南昌支行</t>
    <phoneticPr fontId="6" type="noConversion"/>
  </si>
  <si>
    <t>房地产抵押价值</t>
  </si>
  <si>
    <t>北京市</t>
  </si>
  <si>
    <t>海淀区金夕园甲1号三段-1至3层商业用房房地产</t>
    <phoneticPr fontId="6" type="noConversion"/>
  </si>
  <si>
    <t>自然人</t>
  </si>
  <si>
    <t>李斌</t>
    <phoneticPr fontId="6" type="noConversion"/>
  </si>
  <si>
    <t>商业</t>
    <phoneticPr fontId="6" type="noConversion"/>
  </si>
  <si>
    <t>商业24年</t>
    <phoneticPr fontId="6" type="noConversion"/>
  </si>
  <si>
    <t>《房屋所有权证》[X京房权证海私字第007101号]</t>
    <phoneticPr fontId="6" type="noConversion"/>
  </si>
  <si>
    <t>通路</t>
  </si>
  <si>
    <t>通电</t>
  </si>
  <si>
    <t>通讯</t>
  </si>
  <si>
    <t>通上水</t>
  </si>
  <si>
    <t>通下水</t>
  </si>
  <si>
    <t>通热</t>
  </si>
  <si>
    <t>燃气</t>
  </si>
  <si>
    <t>比较法</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</si>
  <si>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</si>
  <si>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</si>
  <si>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</si>
  <si>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</si>
  <si>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</si>
  <si>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</si>
  <si>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</si>
  <si>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</si>
  <si>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</si>
  <si>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</si>
  <si>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</si>
  <si>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</si>
  <si>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</si>
  <si>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</si>
  <si>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</si>
  <si>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</si>
  <si>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</si>
  <si>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</si>
  <si>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</si>
  <si>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</si>
  <si>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收益法已出租</t>
  </si>
  <si>
    <t>收益法已出租</t>
    <phoneticPr fontId="17" type="noConversion"/>
  </si>
  <si>
    <t>收益法未出租</t>
  </si>
  <si>
    <t>收益法未出租</t>
    <phoneticPr fontId="17" type="noConversion"/>
  </si>
  <si>
    <t>商业已出租</t>
  </si>
  <si>
    <t>商业已出租</t>
    <phoneticPr fontId="7" type="noConversion"/>
  </si>
  <si>
    <t>商业未出租</t>
  </si>
  <si>
    <t>商业未出租</t>
    <phoneticPr fontId="7" type="noConversion"/>
  </si>
  <si>
    <t>商业已出租</t>
    <phoneticPr fontId="3" type="noConversion"/>
  </si>
  <si>
    <t>商业未出租</t>
    <phoneticPr fontId="3" type="noConversion"/>
  </si>
  <si>
    <t>收益法（汇总）</t>
  </si>
  <si>
    <t>典型户型修正</t>
  </si>
  <si>
    <t>典型户型修正</t>
    <phoneticPr fontId="17" type="noConversion"/>
  </si>
  <si>
    <t>收益比率</t>
  </si>
  <si>
    <t>案例</t>
    <phoneticPr fontId="205" type="noConversion"/>
  </si>
  <si>
    <t>世纪城商铺</t>
    <phoneticPr fontId="3" type="noConversion"/>
  </si>
  <si>
    <t>蓝靛厂中路</t>
    <phoneticPr fontId="3" type="noConversion"/>
  </si>
  <si>
    <t>左岸工社</t>
    <phoneticPr fontId="3" type="noConversion"/>
  </si>
  <si>
    <t>北四环西路68号</t>
    <phoneticPr fontId="3" type="noConversion"/>
  </si>
  <si>
    <t>中关村东路66号</t>
    <phoneticPr fontId="3" type="noConversion"/>
  </si>
  <si>
    <t>商业</t>
    <phoneticPr fontId="45" type="noConversion"/>
  </si>
  <si>
    <t>30-40（含）</t>
  </si>
  <si>
    <t>多面临街</t>
    <phoneticPr fontId="3" type="noConversion"/>
  </si>
  <si>
    <t>双面临街</t>
    <phoneticPr fontId="3" type="noConversion"/>
  </si>
  <si>
    <t>单面临街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</si>
  <si>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</si>
  <si>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</si>
  <si>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</si>
  <si>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</si>
  <si>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</si>
  <si>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</si>
  <si>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</si>
  <si>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</si>
  <si>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</si>
  <si>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phoneticPr fontId="45" type="noConversion"/>
  </si>
  <si>
    <t>独栋商业</t>
    <phoneticPr fontId="3" type="noConversion"/>
  </si>
  <si>
    <t>商业街商铺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</si>
  <si>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</si>
  <si>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</si>
  <si>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</si>
  <si>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</si>
  <si>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</si>
  <si>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</si>
  <si>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</si>
  <si>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</si>
  <si>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</si>
  <si>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</si>
  <si>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</si>
  <si>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</si>
  <si>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t>
    <phoneticPr fontId="3" type="noConversion"/>
  </si>
  <si>
    <t>标准</t>
    <phoneticPr fontId="3" type="noConversion"/>
  </si>
  <si>
    <t>适宜</t>
    <phoneticPr fontId="3" type="noConversion"/>
  </si>
  <si>
    <t>较好</t>
  </si>
  <si>
    <t>好</t>
  </si>
  <si>
    <t>五道口附近，好</t>
    <phoneticPr fontId="45" type="noConversion"/>
  </si>
  <si>
    <t>五道口地铁</t>
    <phoneticPr fontId="45" type="noConversion"/>
  </si>
  <si>
    <t>七通</t>
  </si>
  <si>
    <t>单面临街</t>
  </si>
  <si>
    <t>双面临街</t>
  </si>
  <si>
    <t>较好</t>
    <phoneticPr fontId="45" type="noConversion"/>
  </si>
  <si>
    <t>好</t>
    <phoneticPr fontId="45" type="noConversion"/>
  </si>
  <si>
    <t>较大</t>
  </si>
  <si>
    <t>大</t>
  </si>
  <si>
    <t>写字楼底商</t>
  </si>
  <si>
    <t>写字楼底商</t>
    <phoneticPr fontId="3" type="noConversion"/>
  </si>
  <si>
    <t>住宅底商</t>
  </si>
  <si>
    <t>住宅底商</t>
    <phoneticPr fontId="45" type="noConversion"/>
  </si>
  <si>
    <t>精装</t>
  </si>
  <si>
    <t>不可餐饮</t>
  </si>
  <si>
    <t>标准</t>
  </si>
  <si>
    <t>适宜</t>
  </si>
  <si>
    <t>好</t>
    <phoneticPr fontId="45" type="noConversion"/>
  </si>
  <si>
    <t>普装</t>
  </si>
  <si>
    <t>紫竹院花园底商</t>
    <phoneticPr fontId="3" type="noConversion"/>
  </si>
  <si>
    <t>天创科技大厦</t>
    <phoneticPr fontId="3" type="noConversion"/>
  </si>
  <si>
    <t>租金</t>
  </si>
  <si>
    <t>瀚海国际大厦（1+1大厦）</t>
    <phoneticPr fontId="3" type="noConversion"/>
  </si>
  <si>
    <t>彩和坊路10号</t>
    <phoneticPr fontId="3" type="noConversion"/>
  </si>
  <si>
    <t>楼层</t>
    <phoneticPr fontId="205" type="noConversion"/>
  </si>
  <si>
    <t>系数</t>
    <phoneticPr fontId="205" type="noConversion"/>
  </si>
  <si>
    <t>单价</t>
    <phoneticPr fontId="205" type="noConversion"/>
  </si>
  <si>
    <t>地下1层</t>
    <phoneticPr fontId="205" type="noConversion"/>
  </si>
  <si>
    <t>平均值</t>
    <phoneticPr fontId="205" type="noConversion"/>
  </si>
  <si>
    <t>需扣减承租人权益</t>
  </si>
  <si>
    <t>独栋商业</t>
  </si>
  <si>
    <t>月租金</t>
    <phoneticPr fontId="205" type="noConversion"/>
  </si>
  <si>
    <t>物业费月租金</t>
    <phoneticPr fontId="205" type="noConversion"/>
  </si>
  <si>
    <t>中关村图书大厦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</si>
</sst>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indexed="8"/>
      <name val="Arial"/>
      <family val="2"/>
      <charset val="134"/>
    </font>
    <font>
      <sz val="11"/>
      <name val="Arial"/>
      <family val="2"/>
      <charset val="134"/>
    </font>
    <font>
      <b/>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81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113" fillId="6" borderId="16" xfId="0" applyFont="1" applyFill="1" applyBorder="1" applyAlignment="1" applyProtection="1">
      <alignment horizontal="left" vertical="center"/>
      <protection locked="0"/>
    </xf>
    <xf numFmtId="0" fontId="18" fillId="0" borderId="1" xfId="0"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130" fillId="0" borderId="0" xfId="0" applyFont="1">
      <alignment vertical="center"/>
    </xf>
    <xf numFmtId="0" fontId="130" fillId="0" borderId="1" xfId="0"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79" fontId="68" fillId="0" borderId="1" xfId="0" applyNumberFormat="1" applyFont="1" applyBorder="1" applyAlignment="1" applyProtection="1">
      <alignment horizontal="center" vertical="center"/>
      <protection locked="0"/>
    </xf>
    <xf numFmtId="0" fontId="161" fillId="6" borderId="26" xfId="2" applyFont="1" applyFill="1" applyBorder="1"/>
    <xf numFmtId="184" fontId="262" fillId="0" borderId="67" xfId="2" applyNumberFormat="1" applyFont="1" applyFill="1" applyBorder="1" applyAlignment="1" applyProtection="1">
      <alignment horizontal="center" vertical="center"/>
      <protection locked="0"/>
    </xf>
    <xf numFmtId="0" fontId="161" fillId="0" borderId="0" xfId="2" applyFont="1"/>
    <xf numFmtId="180" fontId="220" fillId="6" borderId="6" xfId="1" applyNumberFormat="1" applyFont="1" applyFill="1" applyBorder="1" applyAlignment="1" applyProtection="1">
      <alignment horizontal="center" vertical="center" wrapText="1"/>
    </xf>
    <xf numFmtId="0" fontId="112" fillId="6" borderId="9" xfId="2" applyFont="1" applyFill="1" applyBorder="1" applyAlignment="1" applyProtection="1">
      <alignment horizontal="center" vertical="center" wrapText="1"/>
    </xf>
    <xf numFmtId="179" fontId="112" fillId="6" borderId="9" xfId="2" applyNumberFormat="1" applyFont="1" applyFill="1" applyBorder="1" applyAlignment="1" applyProtection="1">
      <alignment horizontal="center" vertical="center" wrapText="1"/>
    </xf>
    <xf numFmtId="0" fontId="112" fillId="6" borderId="10" xfId="2" applyFont="1" applyFill="1" applyBorder="1" applyAlignment="1" applyProtection="1">
      <alignment horizontal="center" vertical="center" wrapText="1"/>
    </xf>
    <xf numFmtId="177" fontId="262" fillId="5" borderId="23" xfId="1" applyNumberFormat="1" applyFont="1" applyFill="1" applyBorder="1" applyAlignment="1" applyProtection="1">
      <alignment horizontal="center" vertical="center"/>
      <protection locked="0"/>
    </xf>
    <xf numFmtId="184" fontId="262" fillId="0" borderId="1" xfId="2" applyNumberFormat="1" applyFont="1" applyFill="1" applyBorder="1" applyAlignment="1" applyProtection="1">
      <alignment horizontal="center" vertical="center"/>
      <protection locked="0"/>
    </xf>
    <xf numFmtId="179" fontId="263" fillId="6" borderId="1" xfId="1" applyNumberFormat="1" applyFont="1" applyFill="1" applyBorder="1" applyAlignment="1" applyProtection="1">
      <alignment horizontal="center" vertical="center"/>
    </xf>
    <xf numFmtId="180" fontId="263" fillId="6" borderId="1" xfId="1" applyNumberFormat="1" applyFont="1" applyFill="1" applyBorder="1" applyAlignment="1" applyProtection="1">
      <alignment horizontal="center" vertical="center"/>
    </xf>
    <xf numFmtId="181" fontId="137" fillId="0" borderId="24" xfId="2" applyNumberFormat="1" applyFont="1" applyFill="1" applyBorder="1" applyAlignment="1" applyProtection="1">
      <alignment horizontal="center" vertical="center"/>
      <protection locked="0"/>
    </xf>
    <xf numFmtId="177" fontId="262" fillId="5" borderId="25" xfId="1" applyNumberFormat="1" applyFont="1" applyFill="1" applyBorder="1" applyAlignment="1" applyProtection="1">
      <alignment horizontal="center" vertical="center"/>
      <protection locked="0"/>
    </xf>
    <xf numFmtId="184" fontId="262" fillId="0" borderId="32" xfId="2" applyNumberFormat="1" applyFont="1" applyFill="1" applyBorder="1" applyAlignment="1" applyProtection="1">
      <alignment horizontal="center" vertical="center"/>
      <protection locked="0"/>
    </xf>
    <xf numFmtId="179" fontId="263" fillId="6" borderId="32" xfId="1" applyNumberFormat="1" applyFont="1" applyFill="1" applyBorder="1" applyAlignment="1" applyProtection="1">
      <alignment horizontal="center" vertical="center"/>
    </xf>
    <xf numFmtId="180" fontId="263" fillId="6" borderId="32" xfId="1" applyNumberFormat="1" applyFont="1" applyFill="1" applyBorder="1" applyAlignment="1" applyProtection="1">
      <alignment horizontal="center" vertical="center"/>
    </xf>
    <xf numFmtId="181" fontId="137" fillId="0" borderId="49" xfId="2" applyNumberFormat="1" applyFont="1" applyFill="1" applyBorder="1" applyAlignment="1" applyProtection="1">
      <alignment horizontal="center" vertical="center"/>
      <protection locked="0"/>
    </xf>
    <xf numFmtId="0" fontId="264" fillId="6" borderId="16" xfId="2" applyFont="1" applyFill="1" applyBorder="1" applyAlignment="1">
      <alignment vertical="center"/>
    </xf>
    <xf numFmtId="0" fontId="161" fillId="6" borderId="31" xfId="2" applyFont="1" applyFill="1" applyBorder="1" applyAlignment="1">
      <alignment vertical="center"/>
    </xf>
    <xf numFmtId="0" fontId="161" fillId="0" borderId="0" xfId="2" applyFont="1" applyAlignment="1">
      <alignment vertical="center"/>
    </xf>
    <xf numFmtId="0" fontId="161" fillId="6" borderId="63" xfId="2" applyFont="1" applyFill="1" applyBorder="1"/>
    <xf numFmtId="0" fontId="220" fillId="6" borderId="64" xfId="2" applyFont="1" applyFill="1" applyBorder="1" applyAlignment="1">
      <alignment horizontal="right" vertical="center"/>
    </xf>
    <xf numFmtId="0" fontId="220" fillId="6" borderId="65" xfId="2" applyFont="1" applyFill="1" applyBorder="1" applyAlignment="1">
      <alignment horizontal="right" vertical="center"/>
    </xf>
    <xf numFmtId="0" fontId="263" fillId="6" borderId="6" xfId="2" applyFont="1" applyFill="1" applyBorder="1" applyAlignment="1">
      <alignment horizontal="center"/>
    </xf>
    <xf numFmtId="0" fontId="137" fillId="0" borderId="9" xfId="2" applyFont="1" applyBorder="1" applyAlignment="1" applyProtection="1">
      <alignment horizontal="center"/>
      <protection locked="0"/>
    </xf>
    <xf numFmtId="0" fontId="263" fillId="6" borderId="9" xfId="2" applyFont="1" applyFill="1" applyBorder="1" applyAlignment="1">
      <alignment horizontal="center"/>
    </xf>
    <xf numFmtId="9" fontId="137" fillId="0" borderId="9" xfId="2" applyNumberFormat="1" applyFont="1" applyBorder="1" applyAlignment="1" applyProtection="1">
      <alignment horizontal="center"/>
      <protection locked="0"/>
    </xf>
    <xf numFmtId="0" fontId="263" fillId="6" borderId="10" xfId="2" applyFont="1" applyFill="1" applyBorder="1"/>
    <xf numFmtId="0" fontId="263" fillId="6" borderId="25" xfId="2" applyFont="1" applyFill="1" applyBorder="1" applyAlignment="1">
      <alignment horizontal="center"/>
    </xf>
    <xf numFmtId="0" fontId="137" fillId="0" borderId="32" xfId="2" applyFont="1" applyBorder="1" applyAlignment="1" applyProtection="1">
      <alignment horizontal="center"/>
      <protection locked="0"/>
    </xf>
    <xf numFmtId="0" fontId="263" fillId="6" borderId="32" xfId="2" applyFont="1" applyFill="1" applyBorder="1" applyAlignment="1">
      <alignment horizontal="center"/>
    </xf>
    <xf numFmtId="9" fontId="137" fillId="0" borderId="32" xfId="2" applyNumberFormat="1" applyFont="1" applyBorder="1" applyAlignment="1" applyProtection="1">
      <alignment horizontal="center"/>
      <protection locked="0"/>
    </xf>
    <xf numFmtId="0" fontId="263" fillId="6" borderId="49" xfId="2" applyFont="1" applyFill="1" applyBorder="1"/>
    <xf numFmtId="0" fontId="129" fillId="6" borderId="0" xfId="2" applyFont="1" applyFill="1" applyBorder="1" applyAlignment="1">
      <alignment horizontal="left"/>
    </xf>
    <xf numFmtId="0" fontId="263" fillId="6" borderId="0" xfId="2" applyFont="1" applyFill="1" applyBorder="1" applyAlignment="1">
      <alignment horizontal="center"/>
    </xf>
    <xf numFmtId="0" fontId="137" fillId="0" borderId="9" xfId="2" applyFont="1" applyFill="1" applyBorder="1" applyAlignment="1" applyProtection="1">
      <alignment horizontal="center"/>
      <protection locked="0"/>
    </xf>
    <xf numFmtId="0" fontId="137" fillId="0" borderId="0" xfId="2" applyFont="1"/>
    <xf numFmtId="0" fontId="137" fillId="6" borderId="32" xfId="2" applyFont="1" applyFill="1" applyBorder="1" applyAlignment="1">
      <alignment horizontal="center"/>
    </xf>
    <xf numFmtId="0" fontId="137" fillId="6" borderId="0" xfId="2" applyFont="1" applyFill="1"/>
    <xf numFmtId="0" fontId="161" fillId="6" borderId="0" xfId="2" applyFont="1" applyFill="1"/>
    <xf numFmtId="0" fontId="137" fillId="0" borderId="10" xfId="2" applyFont="1" applyFill="1" applyBorder="1" applyAlignment="1" applyProtection="1">
      <alignment horizontal="center"/>
      <protection locked="0"/>
    </xf>
    <xf numFmtId="0" fontId="137" fillId="6" borderId="49" xfId="2" applyFont="1" applyFill="1" applyBorder="1" applyAlignment="1">
      <alignment horizontal="center"/>
    </xf>
    <xf numFmtId="0" fontId="194" fillId="0" borderId="44" xfId="0" applyNumberFormat="1" applyFont="1" applyFill="1" applyBorder="1" applyAlignment="1" applyProtection="1">
      <alignment horizontal="center" vertical="center" wrapText="1"/>
      <protection locked="0"/>
    </xf>
    <xf numFmtId="0" fontId="194" fillId="0" borderId="83" xfId="0" applyNumberFormat="1" applyFont="1" applyFill="1" applyBorder="1" applyAlignment="1" applyProtection="1">
      <alignment horizontal="center" vertical="center"/>
      <protection locked="0"/>
    </xf>
    <xf numFmtId="0" fontId="129"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12" fillId="0" borderId="44" xfId="0" applyNumberFormat="1" applyFont="1" applyFill="1" applyBorder="1" applyAlignment="1" applyProtection="1">
      <alignment horizontal="center" vertical="center" wrapText="1"/>
      <protection locked="0"/>
    </xf>
    <xf numFmtId="176" fontId="11" fillId="0" borderId="1" xfId="0" applyNumberFormat="1" applyFont="1" applyFill="1" applyBorder="1" applyAlignment="1" applyProtection="1">
      <alignment vertical="center" wrapText="1"/>
      <protection locked="0"/>
    </xf>
    <xf numFmtId="0" fontId="12" fillId="5" borderId="38" xfId="1" applyFont="1" applyFill="1" applyBorder="1" applyAlignment="1" applyProtection="1">
      <alignment vertical="center"/>
      <protection locked="0"/>
    </xf>
    <xf numFmtId="0" fontId="23" fillId="5" borderId="49" xfId="1" applyFont="1" applyFill="1" applyBorder="1" applyAlignment="1" applyProtection="1">
      <alignment vertical="center"/>
      <protection locked="0"/>
    </xf>
    <xf numFmtId="0" fontId="0" fillId="0" borderId="1" xfId="0" applyFill="1" applyBorder="1" applyAlignment="1">
      <alignment horizontal="center" vertical="center"/>
    </xf>
    <xf numFmtId="0" fontId="130" fillId="0" borderId="15" xfId="0" applyFont="1" applyFill="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20" fillId="6" borderId="63" xfId="2" applyFont="1" applyFill="1" applyBorder="1" applyAlignment="1">
      <alignment horizontal="center"/>
    </xf>
    <xf numFmtId="0" fontId="220"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427543</xdr:colOff>
      <xdr:row>29</xdr:row>
      <xdr:rowOff>123210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657143" cy="4923810"/>
        </a:xfrm>
        <a:prstGeom prst="rect">
          <a:avLst/>
        </a:prstGeom>
      </xdr:spPr>
    </xdr:pic>
    <xdr:clientData/>
  </xdr:twoCellAnchor>
  <xdr:twoCellAnchor editAs="oneCell">
    <xdr:from>
      <xdr:col>13</xdr:col>
      <xdr:colOff>0</xdr:colOff>
      <xdr:row>1</xdr:row>
      <xdr:rowOff>0</xdr:rowOff>
    </xdr:from>
    <xdr:to>
      <xdr:col>24</xdr:col>
      <xdr:colOff>399058</xdr:colOff>
      <xdr:row>9</xdr:row>
      <xdr:rowOff>104591</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171450"/>
          <a:ext cx="7942858" cy="1476191"/>
        </a:xfrm>
        <a:prstGeom prst="rect">
          <a:avLst/>
        </a:prstGeom>
      </xdr:spPr>
    </xdr:pic>
    <xdr:clientData/>
  </xdr:twoCellAnchor>
  <xdr:twoCellAnchor editAs="oneCell">
    <xdr:from>
      <xdr:col>0</xdr:col>
      <xdr:colOff>0</xdr:colOff>
      <xdr:row>30</xdr:row>
      <xdr:rowOff>0</xdr:rowOff>
    </xdr:from>
    <xdr:to>
      <xdr:col>12</xdr:col>
      <xdr:colOff>284686</xdr:colOff>
      <xdr:row>58</xdr:row>
      <xdr:rowOff>75591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8514286" cy="4876191"/>
        </a:xfrm>
        <a:prstGeom prst="rect">
          <a:avLst/>
        </a:prstGeom>
      </xdr:spPr>
    </xdr:pic>
    <xdr:clientData/>
  </xdr:twoCellAnchor>
  <xdr:twoCellAnchor editAs="oneCell">
    <xdr:from>
      <xdr:col>12</xdr:col>
      <xdr:colOff>0</xdr:colOff>
      <xdr:row>30</xdr:row>
      <xdr:rowOff>0</xdr:rowOff>
    </xdr:from>
    <xdr:to>
      <xdr:col>24</xdr:col>
      <xdr:colOff>379924</xdr:colOff>
      <xdr:row>52</xdr:row>
      <xdr:rowOff>9053</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5143500"/>
          <a:ext cx="8609524" cy="3780953"/>
        </a:xfrm>
        <a:prstGeom prst="rect">
          <a:avLst/>
        </a:prstGeom>
      </xdr:spPr>
    </xdr:pic>
    <xdr:clientData/>
  </xdr:twoCellAnchor>
  <xdr:twoCellAnchor editAs="oneCell">
    <xdr:from>
      <xdr:col>0</xdr:col>
      <xdr:colOff>0</xdr:colOff>
      <xdr:row>59</xdr:row>
      <xdr:rowOff>0</xdr:rowOff>
    </xdr:from>
    <xdr:to>
      <xdr:col>12</xdr:col>
      <xdr:colOff>427543</xdr:colOff>
      <xdr:row>88</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8657143" cy="5095238"/>
        </a:xfrm>
        <a:prstGeom prst="rect">
          <a:avLst/>
        </a:prstGeom>
      </xdr:spPr>
    </xdr:pic>
    <xdr:clientData/>
  </xdr:twoCellAnchor>
  <xdr:twoCellAnchor editAs="oneCell">
    <xdr:from>
      <xdr:col>13</xdr:col>
      <xdr:colOff>0</xdr:colOff>
      <xdr:row>59</xdr:row>
      <xdr:rowOff>0</xdr:rowOff>
    </xdr:from>
    <xdr:to>
      <xdr:col>21</xdr:col>
      <xdr:colOff>465981</xdr:colOff>
      <xdr:row>88</xdr:row>
      <xdr:rowOff>94617</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10115550"/>
          <a:ext cx="5952381" cy="5066667"/>
        </a:xfrm>
        <a:prstGeom prst="rect">
          <a:avLst/>
        </a:prstGeom>
      </xdr:spPr>
    </xdr:pic>
    <xdr:clientData/>
  </xdr:twoCellAnchor>
  <xdr:twoCellAnchor editAs="oneCell">
    <xdr:from>
      <xdr:col>0</xdr:col>
      <xdr:colOff>0</xdr:colOff>
      <xdr:row>89</xdr:row>
      <xdr:rowOff>0</xdr:rowOff>
    </xdr:from>
    <xdr:to>
      <xdr:col>12</xdr:col>
      <xdr:colOff>198972</xdr:colOff>
      <xdr:row>117</xdr:row>
      <xdr:rowOff>27972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259050"/>
          <a:ext cx="8428572" cy="4828572"/>
        </a:xfrm>
        <a:prstGeom prst="rect">
          <a:avLst/>
        </a:prstGeom>
      </xdr:spPr>
    </xdr:pic>
    <xdr:clientData/>
  </xdr:twoCellAnchor>
  <xdr:twoCellAnchor editAs="oneCell">
    <xdr:from>
      <xdr:col>13</xdr:col>
      <xdr:colOff>0</xdr:colOff>
      <xdr:row>90</xdr:row>
      <xdr:rowOff>0</xdr:rowOff>
    </xdr:from>
    <xdr:to>
      <xdr:col>21</xdr:col>
      <xdr:colOff>485029</xdr:colOff>
      <xdr:row>102</xdr:row>
      <xdr:rowOff>123553</xdr:rowOff>
    </xdr:to>
    <xdr:pic>
      <xdr:nvPicPr>
        <xdr:cNvPr id="9" name="图片 8"/>
        <xdr:cNvPicPr>
          <a:picLocks noChangeAspect="1"/>
        </xdr:cNvPicPr>
      </xdr:nvPicPr>
      <xdr:blipFill>
        <a:blip xmlns:r="http://schemas.openxmlformats.org/officeDocument/2006/relationships" r:embed="rId8"/>
        <a:stretch>
          <a:fillRect/>
        </a:stretch>
      </xdr:blipFill>
      <xdr:spPr>
        <a:xfrm>
          <a:off x="8915400" y="15430500"/>
          <a:ext cx="5971429" cy="2180953"/>
        </a:xfrm>
        <a:prstGeom prst="rect">
          <a:avLst/>
        </a:prstGeom>
      </xdr:spPr>
    </xdr:pic>
    <xdr:clientData/>
  </xdr:twoCellAnchor>
  <xdr:twoCellAnchor editAs="oneCell">
    <xdr:from>
      <xdr:col>0</xdr:col>
      <xdr:colOff>0</xdr:colOff>
      <xdr:row>119</xdr:row>
      <xdr:rowOff>1</xdr:rowOff>
    </xdr:from>
    <xdr:to>
      <xdr:col>7</xdr:col>
      <xdr:colOff>19050</xdr:colOff>
      <xdr:row>142</xdr:row>
      <xdr:rowOff>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402551"/>
          <a:ext cx="4819650" cy="3943350"/>
        </a:xfrm>
        <a:prstGeom prst="rect">
          <a:avLst/>
        </a:prstGeom>
      </xdr:spPr>
    </xdr:pic>
    <xdr:clientData/>
  </xdr:twoCellAnchor>
  <xdr:twoCellAnchor editAs="oneCell">
    <xdr:from>
      <xdr:col>7</xdr:col>
      <xdr:colOff>0</xdr:colOff>
      <xdr:row>124</xdr:row>
      <xdr:rowOff>47626</xdr:rowOff>
    </xdr:from>
    <xdr:to>
      <xdr:col>14</xdr:col>
      <xdr:colOff>548440</xdr:colOff>
      <xdr:row>141</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00600" y="21307426"/>
          <a:ext cx="5349040" cy="3019424"/>
        </a:xfrm>
        <a:prstGeom prst="rect">
          <a:avLst/>
        </a:prstGeom>
      </xdr:spPr>
    </xdr:pic>
    <xdr:clientData/>
  </xdr:twoCellAnchor>
  <xdr:twoCellAnchor editAs="oneCell">
    <xdr:from>
      <xdr:col>0</xdr:col>
      <xdr:colOff>0</xdr:colOff>
      <xdr:row>142</xdr:row>
      <xdr:rowOff>1</xdr:rowOff>
    </xdr:from>
    <xdr:to>
      <xdr:col>7</xdr:col>
      <xdr:colOff>171450</xdr:colOff>
      <xdr:row>158</xdr:row>
      <xdr:rowOff>145433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4345901"/>
          <a:ext cx="4972050" cy="2888632"/>
        </a:xfrm>
        <a:prstGeom prst="rect">
          <a:avLst/>
        </a:prstGeom>
      </xdr:spPr>
    </xdr:pic>
    <xdr:clientData/>
  </xdr:twoCellAnchor>
  <xdr:twoCellAnchor editAs="oneCell">
    <xdr:from>
      <xdr:col>7</xdr:col>
      <xdr:colOff>123825</xdr:colOff>
      <xdr:row>141</xdr:row>
      <xdr:rowOff>133350</xdr:rowOff>
    </xdr:from>
    <xdr:to>
      <xdr:col>14</xdr:col>
      <xdr:colOff>170418</xdr:colOff>
      <xdr:row>158</xdr:row>
      <xdr:rowOff>30855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924425" y="24307800"/>
          <a:ext cx="4847193" cy="2812155"/>
        </a:xfrm>
        <a:prstGeom prst="rect">
          <a:avLst/>
        </a:prstGeom>
      </xdr:spPr>
    </xdr:pic>
    <xdr:clientData/>
  </xdr:twoCellAnchor>
  <xdr:twoCellAnchor editAs="oneCell">
    <xdr:from>
      <xdr:col>0</xdr:col>
      <xdr:colOff>0</xdr:colOff>
      <xdr:row>159</xdr:row>
      <xdr:rowOff>1</xdr:rowOff>
    </xdr:from>
    <xdr:to>
      <xdr:col>6</xdr:col>
      <xdr:colOff>295275</xdr:colOff>
      <xdr:row>184</xdr:row>
      <xdr:rowOff>97179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7260551"/>
          <a:ext cx="4410075" cy="4383428"/>
        </a:xfrm>
        <a:prstGeom prst="rect">
          <a:avLst/>
        </a:prstGeom>
      </xdr:spPr>
    </xdr:pic>
    <xdr:clientData/>
  </xdr:twoCellAnchor>
  <xdr:twoCellAnchor editAs="oneCell">
    <xdr:from>
      <xdr:col>6</xdr:col>
      <xdr:colOff>135597</xdr:colOff>
      <xdr:row>166</xdr:row>
      <xdr:rowOff>76200</xdr:rowOff>
    </xdr:from>
    <xdr:to>
      <xdr:col>14</xdr:col>
      <xdr:colOff>341065</xdr:colOff>
      <xdr:row>184</xdr:row>
      <xdr:rowOff>123825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250397" y="28536900"/>
          <a:ext cx="5691868" cy="3133725"/>
        </a:xfrm>
        <a:prstGeom prst="rect">
          <a:avLst/>
        </a:prstGeom>
      </xdr:spPr>
    </xdr:pic>
    <xdr:clientData/>
  </xdr:twoCellAnchor>
  <xdr:twoCellAnchor editAs="oneCell">
    <xdr:from>
      <xdr:col>0</xdr:col>
      <xdr:colOff>1</xdr:colOff>
      <xdr:row>185</xdr:row>
      <xdr:rowOff>0</xdr:rowOff>
    </xdr:from>
    <xdr:to>
      <xdr:col>7</xdr:col>
      <xdr:colOff>571501</xdr:colOff>
      <xdr:row>204</xdr:row>
      <xdr:rowOff>94122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 y="31718250"/>
          <a:ext cx="5372100" cy="3351672"/>
        </a:xfrm>
        <a:prstGeom prst="rect">
          <a:avLst/>
        </a:prstGeom>
      </xdr:spPr>
    </xdr:pic>
    <xdr:clientData/>
  </xdr:twoCellAnchor>
  <xdr:twoCellAnchor editAs="oneCell">
    <xdr:from>
      <xdr:col>7</xdr:col>
      <xdr:colOff>581025</xdr:colOff>
      <xdr:row>184</xdr:row>
      <xdr:rowOff>47626</xdr:rowOff>
    </xdr:from>
    <xdr:to>
      <xdr:col>14</xdr:col>
      <xdr:colOff>84661</xdr:colOff>
      <xdr:row>204</xdr:row>
      <xdr:rowOff>46608</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381625" y="31594426"/>
          <a:ext cx="4304236" cy="34279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5" customWidth="1"/>
    <col min="2" max="2" width="81" style="3072" customWidth="1"/>
    <col min="3" max="16384" width="9" style="3070"/>
  </cols>
  <sheetData>
    <row r="1" spans="1:2" s="3058" customFormat="1" ht="16.5" thickBot="1">
      <c r="A1" s="3057" t="s">
        <v>2798</v>
      </c>
      <c r="B1" s="3056" t="s">
        <v>2887</v>
      </c>
    </row>
    <row r="2" spans="1:2" s="3061" customFormat="1" ht="15" thickTop="1">
      <c r="A2" s="3059" t="s">
        <v>2799</v>
      </c>
      <c r="B2" s="3060" t="str">
        <f>'预评函-封皮'!B37:I37</f>
        <v>北京市海淀区金夕园甲1号三段-1至3层商业用房房地产房地产抵押价值预评估</v>
      </c>
    </row>
    <row r="3" spans="1:2" s="3064" customFormat="1">
      <c r="A3" s="3062" t="s">
        <v>2800</v>
      </c>
      <c r="B3" s="3063" t="str">
        <f>'预评函-封皮'!B40</f>
        <v>李斌</v>
      </c>
    </row>
    <row r="4" spans="1:2" s="3064" customFormat="1">
      <c r="A4" s="3062" t="s">
        <v>2801</v>
      </c>
      <c r="B4" s="3063" t="str">
        <f ca="1">'预评函-封皮'!B46</f>
        <v>刘梅（注册号：1120140022)、吴薇（注册号：1419970001)</v>
      </c>
    </row>
    <row r="5" spans="1:2" s="3058" customFormat="1" ht="15" thickBot="1">
      <c r="A5" s="3065" t="s">
        <v>2802</v>
      </c>
      <c r="B5" s="3066" t="str">
        <f>'预评函-封皮'!B49</f>
        <v>康正预评字号</v>
      </c>
    </row>
    <row r="6" spans="1:2" s="3061" customFormat="1" ht="15" thickTop="1">
      <c r="A6" s="3059" t="s">
        <v>2803</v>
      </c>
      <c r="B6" s="3060" t="str">
        <f>'预评函-1'!A4</f>
        <v>受贵公司委托，我公司对北京市海淀区金夕园甲1号三段-1至3层商业用房房地产房地产抵押价值进行了预评估。</v>
      </c>
    </row>
    <row r="7" spans="1:2" s="3064" customFormat="1">
      <c r="A7" s="3062" t="s">
        <v>2843</v>
      </c>
      <c r="B7" s="3063" t="str">
        <f>'预评函-1'!A7</f>
        <v>估价对象为北京市海淀区金夕园甲1号三段-1至3层商业用房房地产房地产，为李斌所有。根据，估价对象（分摊）出让国有建设用地使用权面积为0平方米。根据《房屋所有权证》[X京房权证海私字第007101号]，估价对象建筑面积为3441.66平方米。</v>
      </c>
    </row>
    <row r="8" spans="1:2" s="3064" customFormat="1">
      <c r="A8" s="3062" t="s">
        <v>2844</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2845</v>
      </c>
      <c r="B9" s="3063" t="str">
        <f>'预评函-1'!A10</f>
        <v>估价对象为北京市海淀区金夕园甲1号三段-1至3层商业用房房地产房地产,属李斌开发建设的商业项目，该项目尚在开发建设中。根据，估价对象（分摊）出让国有建设用地使用权面积为0平方米。根据《房屋所有权证》[X京房权证海私字第007101号]，估价对象规划建筑面积为3441.66平方米。</v>
      </c>
    </row>
    <row r="10" spans="1:2" s="3064" customFormat="1">
      <c r="A10" s="3062" t="s">
        <v>2846</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2804</v>
      </c>
      <c r="B11" s="3063" t="str">
        <f>'预评函-1'!A13</f>
        <v>为估价委托人在向民生银行南昌支行办理贷款手续过程中，确定房地产抵押贷款额度提供参考依据而评估房地产抵押价值。</v>
      </c>
    </row>
    <row r="12" spans="1:2" s="3064" customFormat="1">
      <c r="A12" s="3062" t="s">
        <v>2805</v>
      </c>
      <c r="B12" s="3063" t="str">
        <f>'预评函-1'!A15</f>
        <v>2017年9月19日（评估专业人员实地查勘之日）</v>
      </c>
    </row>
    <row r="13" spans="1:2" s="3064" customFormat="1">
      <c r="A13" s="3062" t="s">
        <v>2806</v>
      </c>
      <c r="B13" s="3063" t="str">
        <f>'预评函-1'!A18</f>
        <v>本次估价的“房地产价值”是指在正常市场情况下，在价值时点2017年9月19日，估价对象规划用途为商业，土地取得方式为出让，出让国有建设用地使用权剩余土地使用年限为商业24年，假定未设立法定优先受偿款下的房地产市场价值。</v>
      </c>
    </row>
    <row r="14" spans="1:2" s="3064" customFormat="1">
      <c r="A14" s="3062" t="s">
        <v>2807</v>
      </c>
      <c r="B14" s="3063" t="str">
        <f>'预评函-1'!A19</f>
        <v>其中，“出让国有建设用地使用权价值”是指估价对象用途为商业，实际开发程度为宗地红线外“七通”（即通路、通电、通讯、通上水、通下水、通热、燃气）、红线内场地平整条件下，剩余土地使用年限为商业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2808</v>
      </c>
      <c r="B15" s="3063" t="str">
        <f>'预评函-1'!A20</f>
        <v>本次估价的“房地产抵押价值”是指估价对象在价值时点的“房地产价值”扣减估价师于价值时点所知悉的法定优先受偿款后的余额。</v>
      </c>
    </row>
    <row r="16" spans="1:2" s="3064" customFormat="1">
      <c r="A16" s="3062" t="s">
        <v>2809</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2810</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2811</v>
      </c>
      <c r="B18" s="3066" t="str">
        <f>'预评函-1'!A24</f>
        <v>本次评估采用的主估价方法为基准地价系数修正法和收益法。</v>
      </c>
    </row>
    <row r="19" spans="1:2" s="3061" customFormat="1" ht="15" thickTop="1">
      <c r="A19" s="3059" t="s">
        <v>2812</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2813</v>
      </c>
      <c r="B20" s="3063">
        <f ca="1">'预评函-2'!D5</f>
        <v>17113</v>
      </c>
    </row>
    <row r="21" spans="1:2" s="3064" customFormat="1">
      <c r="A21" s="3062" t="s">
        <v>2814</v>
      </c>
      <c r="B21" s="3063" t="e">
        <f ca="1">'预评函-2'!D7</f>
        <v>#DIV/0!</v>
      </c>
    </row>
    <row r="22" spans="1:2" s="3064" customFormat="1">
      <c r="A22" s="3062" t="s">
        <v>2815</v>
      </c>
      <c r="B22" s="3063" t="str">
        <f ca="1">'预评函-2'!D6</f>
        <v>壹亿柒仟壹佰壹拾叁万元整</v>
      </c>
    </row>
    <row r="23" spans="1:2" s="3064" customFormat="1">
      <c r="A23" s="3062" t="s">
        <v>2875</v>
      </c>
      <c r="B23" s="3063" t="str">
        <f>'预评函-2'!B8</f>
        <v>2.估价师知悉的法定优先受偿款</v>
      </c>
    </row>
    <row r="24" spans="1:2" s="3064" customFormat="1">
      <c r="A24" s="3062" t="s">
        <v>2881</v>
      </c>
      <c r="B24" s="3063">
        <f>'预评函-2'!D8</f>
        <v>0</v>
      </c>
    </row>
    <row r="25" spans="1:2" s="3064" customFormat="1">
      <c r="A25" s="3062" t="s">
        <v>2816</v>
      </c>
      <c r="B25" s="3063" t="str">
        <f>'预评函-2'!D9</f>
        <v>零元整</v>
      </c>
    </row>
    <row r="26" spans="1:2" s="3064" customFormat="1">
      <c r="A26" s="3062" t="s">
        <v>2817</v>
      </c>
      <c r="B26" s="3063">
        <f>'预评函-2'!D10</f>
        <v>0</v>
      </c>
    </row>
    <row r="27" spans="1:2" s="3064" customFormat="1">
      <c r="A27" s="3062" t="s">
        <v>2818</v>
      </c>
      <c r="B27" s="3063">
        <f>'预评函-2'!D11</f>
        <v>0</v>
      </c>
    </row>
    <row r="28" spans="1:2" s="3064" customFormat="1">
      <c r="A28" s="3062" t="s">
        <v>2819</v>
      </c>
      <c r="B28" s="3063">
        <f>'预评函-2'!D12</f>
        <v>0</v>
      </c>
    </row>
    <row r="29" spans="1:2" s="3064" customFormat="1">
      <c r="A29" s="3062" t="s">
        <v>2879</v>
      </c>
      <c r="B29" s="3063" t="str">
        <f>'预评函-2'!B13</f>
        <v>3.房地产抵押价值</v>
      </c>
    </row>
    <row r="30" spans="1:2" s="3064" customFormat="1">
      <c r="A30" s="3062" t="s">
        <v>2880</v>
      </c>
      <c r="B30" s="3063">
        <f ca="1">'预评函-2'!D13</f>
        <v>17113</v>
      </c>
    </row>
    <row r="31" spans="1:2" s="3064" customFormat="1">
      <c r="A31" s="3062" t="s">
        <v>2854</v>
      </c>
      <c r="B31" s="3063">
        <f ca="1">'预评函-2'!D15</f>
        <v>49723</v>
      </c>
    </row>
    <row r="32" spans="1:2" s="3064" customFormat="1">
      <c r="A32" s="3062" t="s">
        <v>2820</v>
      </c>
      <c r="B32" s="3063" t="str">
        <f ca="1">'预评函-2'!D14</f>
        <v>壹亿柒仟壹佰壹拾叁万元整</v>
      </c>
    </row>
    <row r="33" spans="1:2" s="3064" customFormat="1">
      <c r="A33" s="3062" t="s">
        <v>2856</v>
      </c>
      <c r="B33" s="3063" t="str">
        <f>'预评函-2'!B16</f>
        <v>——</v>
      </c>
    </row>
    <row r="34" spans="1:2" s="3064" customFormat="1">
      <c r="A34" s="3062" t="s">
        <v>2882</v>
      </c>
      <c r="B34" s="3063" t="str">
        <f>'预评函-2'!D16</f>
        <v>——</v>
      </c>
    </row>
    <row r="35" spans="1:2" s="3064" customFormat="1">
      <c r="A35" s="3062" t="s">
        <v>2855</v>
      </c>
      <c r="B35" s="3063" t="str">
        <f>'预评函-2'!D18</f>
        <v>——</v>
      </c>
    </row>
    <row r="36" spans="1:2" s="3064" customFormat="1">
      <c r="A36" s="3062" t="s">
        <v>2821</v>
      </c>
      <c r="B36" s="3063" t="e">
        <f>'预评函-2'!D17</f>
        <v>#VALUE!</v>
      </c>
    </row>
    <row r="37" spans="1:2" s="3064" customFormat="1">
      <c r="A37" s="3062" t="s">
        <v>2857</v>
      </c>
      <c r="B37" s="3063" t="str">
        <f>'预评函-2'!B19</f>
        <v>——</v>
      </c>
    </row>
    <row r="38" spans="1:2" s="3064" customFormat="1">
      <c r="A38" s="3062" t="s">
        <v>2883</v>
      </c>
      <c r="B38" s="3063" t="str">
        <f>'预评函-2'!D19</f>
        <v>——</v>
      </c>
    </row>
    <row r="39" spans="1:2" s="3064" customFormat="1">
      <c r="A39" s="3062" t="s">
        <v>2822</v>
      </c>
      <c r="B39" s="3063" t="str">
        <f>'预评函-2'!D21</f>
        <v>——</v>
      </c>
    </row>
    <row r="40" spans="1:2" s="3064" customFormat="1">
      <c r="A40" s="3062" t="s">
        <v>2823</v>
      </c>
      <c r="B40" s="3063" t="e">
        <f>'预评函-2'!D20</f>
        <v>#VALUE!</v>
      </c>
    </row>
    <row r="41" spans="1:2" s="3064" customFormat="1">
      <c r="A41" s="3062" t="s">
        <v>2878</v>
      </c>
      <c r="B41" s="3063" t="str">
        <f>'预评函-3'!A4</f>
        <v>北京市海淀区金夕园甲1号三段-1至3层商业用房房地产房地产</v>
      </c>
    </row>
    <row r="42" spans="1:2" s="3064" customFormat="1">
      <c r="A42" s="3062" t="s">
        <v>2876</v>
      </c>
      <c r="B42" s="3063" t="str">
        <f>'预评函-3'!B2</f>
        <v>建筑面积</v>
      </c>
    </row>
    <row r="43" spans="1:2" s="3064" customFormat="1">
      <c r="A43" s="3062" t="s">
        <v>2877</v>
      </c>
      <c r="B43" s="3063">
        <f>'预评函-3'!B4</f>
        <v>3441.66</v>
      </c>
    </row>
    <row r="44" spans="1:2" s="3064" customFormat="1">
      <c r="A44" s="3062" t="s">
        <v>2853</v>
      </c>
      <c r="B44" s="3063" t="str">
        <f>'预评函-3'!C2</f>
        <v>(分摊)土地面积</v>
      </c>
    </row>
    <row r="45" spans="1:2" s="3064" customFormat="1">
      <c r="A45" s="3062" t="s">
        <v>2824</v>
      </c>
      <c r="B45" s="3063">
        <f>'预评函-3'!C4</f>
        <v>0</v>
      </c>
    </row>
    <row r="46" spans="1:2" s="3064" customFormat="1">
      <c r="A46" s="3062" t="s">
        <v>2851</v>
      </c>
      <c r="B46" s="3063" t="str">
        <f>'预评函-3'!D2</f>
        <v>出让国有建设用地使用权价值</v>
      </c>
    </row>
    <row r="47" spans="1:2" s="3064" customFormat="1">
      <c r="A47" s="3062" t="s">
        <v>2825</v>
      </c>
      <c r="B47" s="3063">
        <f ca="1">'预评函-3'!D4</f>
        <v>14820</v>
      </c>
    </row>
    <row r="48" spans="1:2" s="3064" customFormat="1">
      <c r="A48" s="3062" t="s">
        <v>2826</v>
      </c>
      <c r="B48" s="3063" t="e">
        <f ca="1">'预评函-3'!E4</f>
        <v>#DIV/0!</v>
      </c>
    </row>
    <row r="49" spans="1:2" s="3064" customFormat="1">
      <c r="A49" s="3062" t="s">
        <v>2827</v>
      </c>
      <c r="B49" s="3063" t="str">
        <f ca="1">'预评函-3'!D5</f>
        <v>壹亿肆仟捌佰贰拾万元整</v>
      </c>
    </row>
    <row r="50" spans="1:2" s="3064" customFormat="1">
      <c r="A50" s="3062" t="s">
        <v>2852</v>
      </c>
      <c r="B50" s="3063" t="str">
        <f>'预评函-3'!F2</f>
        <v>在建建筑物价值</v>
      </c>
    </row>
    <row r="51" spans="1:2" s="3064" customFormat="1">
      <c r="A51" s="3062" t="s">
        <v>2828</v>
      </c>
      <c r="B51" s="3063">
        <f ca="1">'预评函-3'!F4</f>
        <v>2293</v>
      </c>
    </row>
    <row r="52" spans="1:2" s="3064" customFormat="1">
      <c r="A52" s="3062" t="s">
        <v>2829</v>
      </c>
      <c r="B52" s="3063" t="e">
        <f ca="1">'预评函-3'!G4</f>
        <v>#DIV/0!</v>
      </c>
    </row>
    <row r="53" spans="1:2" s="3064" customFormat="1">
      <c r="A53" s="3062" t="s">
        <v>2858</v>
      </c>
      <c r="B53" s="3063" t="str">
        <f ca="1">'预评函-3'!F5</f>
        <v>贰仟贰佰玖拾叁万元整</v>
      </c>
    </row>
    <row r="54" spans="1:2" s="3064" customFormat="1">
      <c r="A54" s="3062" t="s">
        <v>2885</v>
      </c>
      <c r="B54" s="3063" t="str">
        <f>'预评函-3'!A8</f>
        <v>房地产抵押价值</v>
      </c>
    </row>
    <row r="55" spans="1:2" s="3064" customFormat="1">
      <c r="A55" s="3062" t="s">
        <v>2859</v>
      </c>
      <c r="B55" s="3063" t="str">
        <f>'预评函-3'!A10</f>
        <v/>
      </c>
    </row>
    <row r="56" spans="1:2" s="3064" customFormat="1">
      <c r="A56" s="3062" t="s">
        <v>2860</v>
      </c>
      <c r="B56" s="3063" t="str">
        <f>'预评函-3'!A12</f>
        <v/>
      </c>
    </row>
    <row r="57" spans="1:2" s="3058" customFormat="1" ht="15" thickBot="1">
      <c r="A57" s="3065" t="s">
        <v>2886</v>
      </c>
      <c r="B57" s="3066" t="str">
        <f>'预评函-3'!A6</f>
        <v>估价师知悉的法定优先受偿款</v>
      </c>
    </row>
    <row r="58" spans="1:2" s="3061" customFormat="1" ht="15" thickTop="1">
      <c r="A58" s="3059" t="s">
        <v>2830</v>
      </c>
      <c r="B58" s="3060" t="str">
        <f>'预评函-4'!A12</f>
        <v>2.本《评估意见函》仅供金融机构进行内部审核使用，不做其他目的之用。</v>
      </c>
    </row>
    <row r="59" spans="1:2" s="3064" customFormat="1">
      <c r="A59" s="3062" t="s">
        <v>2831</v>
      </c>
      <c r="B59" s="3063" t="str">
        <f>'预评函-4'!A13</f>
        <v>3.抵押双方在办理抵押登记手续时，应使用本公司出具的正式《房地产评估报告》，特提醒报告使用者注意。</v>
      </c>
    </row>
    <row r="60" spans="1:2" s="3064" customFormat="1">
      <c r="A60" s="3062" t="s">
        <v>2832</v>
      </c>
      <c r="B60" s="3063" t="str">
        <f>'预评函-4'!A14</f>
        <v>4.本次评估估价师所知悉的法定优先受偿款情况说明如下：</v>
      </c>
    </row>
    <row r="61" spans="1:2" s="3064" customFormat="1">
      <c r="A61" s="3062" t="s">
        <v>2833</v>
      </c>
      <c r="B61" s="3063" t="str">
        <f>'预评函-4'!A15</f>
        <v>（1）根据估价对象《房屋所有权证》原件、《国有土地使用权》复印件，截至价值时点，估价对象抵押权未见登记。</v>
      </c>
    </row>
    <row r="62" spans="1:2" s="3064" customFormat="1">
      <c r="A62" s="3062" t="s">
        <v>2834</v>
      </c>
      <c r="B62" s="3063" t="str">
        <f>'预评函-4'!A16</f>
        <v>（2）根据《工程款支付情况说明》，截至价值时点，估价对象不存在应付未付工程款项。（只要没有施工方盖章的，均“设定”进行表述）</v>
      </c>
    </row>
    <row r="63" spans="1:2" s="3064" customFormat="1">
      <c r="A63" s="3062" t="s">
        <v>2835</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2847</v>
      </c>
      <c r="B64" s="3063" t="str">
        <f>'预评函-4'!A18</f>
        <v>故，本次评估不存在估价师知悉的法定优先受偿款</v>
      </c>
    </row>
    <row r="65" spans="1:2" s="3064" customFormat="1">
      <c r="A65" s="3062" t="s">
        <v>2836</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2837</v>
      </c>
      <c r="B66" s="3063" t="str">
        <f>'预评函-4'!A20</f>
        <v>——</v>
      </c>
    </row>
    <row r="67" spans="1:2" s="3064" customFormat="1">
      <c r="A67" s="3062" t="s">
        <v>2848</v>
      </c>
      <c r="B67" s="3063" t="str">
        <f>'预评函-4'!A21</f>
        <v>——</v>
      </c>
    </row>
    <row r="68" spans="1:2" s="3064" customFormat="1">
      <c r="A68" s="3062" t="s">
        <v>2849</v>
      </c>
      <c r="B68" s="3063" t="str">
        <f>'预评函-4'!A22</f>
        <v>8.其他需特殊说明事项：无（注意调整序号）</v>
      </c>
    </row>
    <row r="69" spans="1:2" s="3058" customFormat="1" ht="15" thickBot="1">
      <c r="A69" s="3065" t="s">
        <v>2838</v>
      </c>
      <c r="B69" s="3067">
        <f>'预评函-4'!C31</f>
        <v>42551</v>
      </c>
    </row>
    <row r="70" spans="1:2" ht="15" thickTop="1">
      <c r="A70" s="3068" t="s">
        <v>2839</v>
      </c>
      <c r="B70" s="3069" t="str">
        <f>'预评函-4'!A4</f>
        <v>刘梅</v>
      </c>
    </row>
    <row r="71" spans="1:2">
      <c r="A71" s="3062" t="s">
        <v>2840</v>
      </c>
      <c r="B71" s="3063">
        <f ca="1">'预评函-4'!B4</f>
        <v>1120140022</v>
      </c>
    </row>
    <row r="72" spans="1:2">
      <c r="A72" s="3062" t="s">
        <v>2841</v>
      </c>
      <c r="B72" s="3071" t="str">
        <f>'预评函-4'!A5</f>
        <v>吴薇</v>
      </c>
    </row>
    <row r="73" spans="1:2" s="3058" customFormat="1" ht="15" thickBot="1">
      <c r="A73" s="3065" t="s">
        <v>2842</v>
      </c>
      <c r="B73" s="3066">
        <f ca="1">'预评函-4'!B5</f>
        <v>1419970001</v>
      </c>
    </row>
    <row r="74" spans="1:2" ht="15" thickTop="1">
      <c r="A74" s="3055" t="s">
        <v>2903</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255</v>
      </c>
      <c r="C1" s="1769" t="s">
        <v>1878</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1850</v>
      </c>
      <c r="Q1" s="11" t="s">
        <v>2644</v>
      </c>
      <c r="R1" s="1487" t="s">
        <v>2634</v>
      </c>
      <c r="S1" s="290" t="s">
        <v>268</v>
      </c>
      <c r="T1" s="291" t="s">
        <v>269</v>
      </c>
      <c r="U1" s="290" t="s">
        <v>270</v>
      </c>
      <c r="V1" s="290" t="s">
        <v>271</v>
      </c>
      <c r="W1" s="1487" t="s">
        <v>1853</v>
      </c>
    </row>
    <row r="2" spans="1:23">
      <c r="A2" s="2799" t="s">
        <v>112</v>
      </c>
      <c r="B2" s="2799" t="s">
        <v>577</v>
      </c>
      <c r="C2" s="1770" t="s">
        <v>1879</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2638</v>
      </c>
      <c r="S2" s="292" t="s">
        <v>230</v>
      </c>
      <c r="T2" s="292" t="s">
        <v>231</v>
      </c>
      <c r="U2" s="292" t="s">
        <v>230</v>
      </c>
      <c r="V2" s="292" t="s">
        <v>232</v>
      </c>
      <c r="W2" s="292" t="s">
        <v>230</v>
      </c>
    </row>
    <row r="3" spans="1:23">
      <c r="A3" s="2799" t="s">
        <v>576</v>
      </c>
      <c r="B3" s="2800" t="s">
        <v>2680</v>
      </c>
      <c r="C3" s="1771" t="s">
        <v>1880</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2636</v>
      </c>
      <c r="S3" s="292" t="s">
        <v>238</v>
      </c>
      <c r="T3" s="292" t="s">
        <v>239</v>
      </c>
      <c r="U3" s="292" t="s">
        <v>238</v>
      </c>
      <c r="V3" s="292" t="s">
        <v>240</v>
      </c>
      <c r="W3" s="292" t="s">
        <v>238</v>
      </c>
    </row>
    <row r="4" spans="1:23">
      <c r="A4" s="2799" t="s">
        <v>578</v>
      </c>
      <c r="B4" s="2799" t="s">
        <v>579</v>
      </c>
      <c r="C4" s="1770" t="s">
        <v>1881</v>
      </c>
      <c r="D4" s="292" t="s">
        <v>2045</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2639</v>
      </c>
      <c r="S4" s="292" t="s">
        <v>241</v>
      </c>
      <c r="T4" s="292" t="s">
        <v>242</v>
      </c>
      <c r="U4" s="292" t="s">
        <v>241</v>
      </c>
      <c r="W4" s="292" t="s">
        <v>241</v>
      </c>
    </row>
    <row r="5" spans="1:23">
      <c r="A5" s="2799" t="s">
        <v>580</v>
      </c>
      <c r="B5" s="2800" t="s">
        <v>3127</v>
      </c>
      <c r="C5" s="1770" t="s">
        <v>1882</v>
      </c>
      <c r="F5" s="292" t="s">
        <v>243</v>
      </c>
      <c r="H5" s="292" t="s">
        <v>244</v>
      </c>
      <c r="I5" s="292" t="s">
        <v>245</v>
      </c>
      <c r="K5" s="292" t="s">
        <v>246</v>
      </c>
      <c r="L5" s="292" t="s">
        <v>246</v>
      </c>
      <c r="M5" s="292" t="s">
        <v>246</v>
      </c>
      <c r="N5" s="292" t="s">
        <v>246</v>
      </c>
      <c r="O5" s="292" t="s">
        <v>246</v>
      </c>
      <c r="P5" s="292" t="s">
        <v>246</v>
      </c>
      <c r="Q5" s="292" t="s">
        <v>246</v>
      </c>
      <c r="R5" s="2765" t="s">
        <v>2640</v>
      </c>
      <c r="S5" s="292" t="s">
        <v>246</v>
      </c>
      <c r="T5" s="292" t="s">
        <v>247</v>
      </c>
      <c r="U5" s="292" t="s">
        <v>246</v>
      </c>
      <c r="W5" s="292" t="s">
        <v>246</v>
      </c>
    </row>
    <row r="6" spans="1:23">
      <c r="A6" s="2799" t="s">
        <v>581</v>
      </c>
      <c r="B6" s="2800" t="s">
        <v>2681</v>
      </c>
      <c r="C6" s="1772" t="s">
        <v>161</v>
      </c>
      <c r="F6" s="292" t="s">
        <v>248</v>
      </c>
      <c r="H6" s="292" t="s">
        <v>249</v>
      </c>
      <c r="I6" s="292" t="s">
        <v>250</v>
      </c>
      <c r="K6" s="292" t="s">
        <v>251</v>
      </c>
      <c r="L6" s="292" t="s">
        <v>251</v>
      </c>
      <c r="M6" s="292" t="s">
        <v>251</v>
      </c>
      <c r="N6" s="292" t="s">
        <v>251</v>
      </c>
      <c r="O6" s="292" t="s">
        <v>251</v>
      </c>
      <c r="P6" s="292" t="s">
        <v>251</v>
      </c>
      <c r="Q6" s="292" t="s">
        <v>251</v>
      </c>
      <c r="R6" s="2765" t="s">
        <v>2641</v>
      </c>
      <c r="S6" s="292" t="s">
        <v>251</v>
      </c>
      <c r="T6" s="292"/>
      <c r="U6" s="292" t="s">
        <v>251</v>
      </c>
      <c r="W6" s="292" t="s">
        <v>251</v>
      </c>
    </row>
    <row r="7" spans="1:23">
      <c r="A7" s="2799" t="s">
        <v>583</v>
      </c>
      <c r="B7" s="2800" t="s">
        <v>2682</v>
      </c>
      <c r="C7" s="1770" t="s">
        <v>162</v>
      </c>
      <c r="F7" s="292" t="s">
        <v>252</v>
      </c>
      <c r="H7" s="292" t="s">
        <v>253</v>
      </c>
      <c r="I7" s="292" t="s">
        <v>254</v>
      </c>
    </row>
    <row r="8" spans="1:23">
      <c r="A8" s="2799" t="s">
        <v>585</v>
      </c>
      <c r="B8" s="2799" t="s">
        <v>582</v>
      </c>
      <c r="C8" s="1770" t="s">
        <v>1883</v>
      </c>
      <c r="F8" s="292" t="s">
        <v>281</v>
      </c>
      <c r="H8" s="292"/>
      <c r="I8" s="292" t="s">
        <v>282</v>
      </c>
    </row>
    <row r="9" spans="1:23">
      <c r="A9" s="2799" t="s">
        <v>587</v>
      </c>
      <c r="B9" s="2799" t="s">
        <v>584</v>
      </c>
      <c r="C9" s="1770" t="s">
        <v>1884</v>
      </c>
      <c r="F9" s="292" t="s">
        <v>283</v>
      </c>
      <c r="H9" s="292"/>
    </row>
    <row r="10" spans="1:23">
      <c r="A10" s="2799" t="s">
        <v>589</v>
      </c>
      <c r="B10" s="2799" t="s">
        <v>586</v>
      </c>
      <c r="C10" s="1770" t="s">
        <v>1885</v>
      </c>
      <c r="F10" s="292" t="s">
        <v>51</v>
      </c>
    </row>
    <row r="11" spans="1:23">
      <c r="A11" s="2799" t="s">
        <v>591</v>
      </c>
      <c r="B11" s="2799" t="s">
        <v>588</v>
      </c>
      <c r="C11" s="1770" t="s">
        <v>1886</v>
      </c>
    </row>
    <row r="12" spans="1:23">
      <c r="A12" s="2799" t="s">
        <v>593</v>
      </c>
      <c r="B12" s="2799" t="s">
        <v>590</v>
      </c>
      <c r="C12" s="1770" t="s">
        <v>1887</v>
      </c>
    </row>
    <row r="13" spans="1:23">
      <c r="A13" s="2799" t="s">
        <v>595</v>
      </c>
      <c r="B13" s="2799" t="s">
        <v>592</v>
      </c>
      <c r="C13" s="1770" t="s">
        <v>1888</v>
      </c>
    </row>
    <row r="14" spans="1:23">
      <c r="A14" s="2799" t="s">
        <v>597</v>
      </c>
      <c r="B14" s="2799" t="s">
        <v>594</v>
      </c>
      <c r="C14" s="292" t="s">
        <v>51</v>
      </c>
    </row>
    <row r="15" spans="1:23">
      <c r="A15" s="2799" t="s">
        <v>598</v>
      </c>
      <c r="B15" s="2799" t="s">
        <v>596</v>
      </c>
      <c r="C15" s="1773"/>
    </row>
    <row r="16" spans="1:23">
      <c r="A16" s="2799" t="s">
        <v>599</v>
      </c>
      <c r="B16" s="2799" t="s">
        <v>1869</v>
      </c>
      <c r="C16" s="1773"/>
    </row>
    <row r="17" spans="1:3">
      <c r="A17" s="2799" t="s">
        <v>600</v>
      </c>
      <c r="B17" s="2799" t="s">
        <v>3129</v>
      </c>
      <c r="C17" s="1773"/>
    </row>
    <row r="18" spans="1:3">
      <c r="A18" s="2799" t="s">
        <v>601</v>
      </c>
      <c r="B18" s="2799" t="s">
        <v>3138</v>
      </c>
      <c r="C18" s="1773"/>
    </row>
    <row r="19" spans="1:3">
      <c r="A19" s="2799" t="s">
        <v>602</v>
      </c>
      <c r="B19" s="2799" t="s">
        <v>1870</v>
      </c>
      <c r="C19" s="1773"/>
    </row>
    <row r="20" spans="1:3">
      <c r="A20" s="2799" t="s">
        <v>603</v>
      </c>
      <c r="B20" s="2799" t="s">
        <v>1870</v>
      </c>
      <c r="C20" s="1773"/>
    </row>
    <row r="21" spans="1:3">
      <c r="A21" s="2799" t="s">
        <v>604</v>
      </c>
      <c r="B21" s="2799" t="s">
        <v>1870</v>
      </c>
      <c r="C21" s="1773"/>
    </row>
    <row r="22" spans="1:3">
      <c r="A22" s="2799" t="s">
        <v>605</v>
      </c>
      <c r="B22" s="2799" t="s">
        <v>1870</v>
      </c>
      <c r="C22" s="1773"/>
    </row>
    <row r="23" spans="1:3">
      <c r="A23" s="2799" t="s">
        <v>606</v>
      </c>
      <c r="B23" s="2799" t="s">
        <v>1870</v>
      </c>
      <c r="C23" s="1773"/>
    </row>
    <row r="24" spans="1:3">
      <c r="A24" s="2799" t="s">
        <v>607</v>
      </c>
      <c r="B24" s="2799" t="s">
        <v>1870</v>
      </c>
      <c r="C24" s="1773"/>
    </row>
    <row r="25" spans="1:3">
      <c r="A25" s="2799" t="s">
        <v>608</v>
      </c>
      <c r="B25" s="2799" t="s">
        <v>1870</v>
      </c>
      <c r="C25" s="1773"/>
    </row>
    <row r="26" spans="1:3">
      <c r="A26" s="2799" t="s">
        <v>609</v>
      </c>
      <c r="B26" s="2799" t="s">
        <v>1870</v>
      </c>
      <c r="C26" s="1773"/>
    </row>
    <row r="27" spans="1:3">
      <c r="A27" s="2799" t="s">
        <v>1870</v>
      </c>
      <c r="B27" s="2799" t="s">
        <v>1870</v>
      </c>
      <c r="C27" s="1773"/>
    </row>
    <row r="28" spans="1:3">
      <c r="A28" s="2799" t="s">
        <v>1870</v>
      </c>
      <c r="B28" s="2799" t="s">
        <v>1870</v>
      </c>
      <c r="C28" s="1773"/>
    </row>
    <row r="29" spans="1:3">
      <c r="A29" s="2799" t="s">
        <v>1870</v>
      </c>
      <c r="B29" s="2799" t="s">
        <v>1870</v>
      </c>
      <c r="C29" s="1773"/>
    </row>
    <row r="30" spans="1:3">
      <c r="A30" s="2799" t="s">
        <v>1870</v>
      </c>
      <c r="B30" s="2799" t="s">
        <v>1870</v>
      </c>
      <c r="C30" s="1773"/>
    </row>
    <row r="31" spans="1:3">
      <c r="A31" s="2799" t="s">
        <v>1870</v>
      </c>
      <c r="B31" s="2799" t="s">
        <v>1870</v>
      </c>
      <c r="C31" s="1773"/>
    </row>
    <row r="32" spans="1:3">
      <c r="A32" s="2799" t="s">
        <v>1870</v>
      </c>
      <c r="B32" s="2799" t="s">
        <v>1870</v>
      </c>
      <c r="C32" s="1773"/>
    </row>
    <row r="33" spans="1:3">
      <c r="A33" s="2799" t="s">
        <v>1870</v>
      </c>
      <c r="B33" s="2799" t="s">
        <v>1870</v>
      </c>
      <c r="C33" s="1773"/>
    </row>
    <row r="34" spans="1:3">
      <c r="A34" s="2799" t="s">
        <v>1870</v>
      </c>
      <c r="B34" s="2799" t="s">
        <v>1870</v>
      </c>
      <c r="C34" s="1773"/>
    </row>
    <row r="35" spans="1:3">
      <c r="A35" s="2799" t="s">
        <v>1870</v>
      </c>
      <c r="B35" s="2799" t="s">
        <v>1870</v>
      </c>
      <c r="C35" s="1773"/>
    </row>
    <row r="36" spans="1:3">
      <c r="A36" s="2799" t="s">
        <v>1870</v>
      </c>
      <c r="B36" s="2799" t="s">
        <v>1870</v>
      </c>
      <c r="C36" s="1773"/>
    </row>
    <row r="37" spans="1:3">
      <c r="A37" s="2799" t="s">
        <v>1870</v>
      </c>
      <c r="B37" s="2799" t="s">
        <v>1870</v>
      </c>
      <c r="C37" s="1773"/>
    </row>
    <row r="38" spans="1:3">
      <c r="A38" s="2799" t="s">
        <v>1870</v>
      </c>
      <c r="B38" s="2799" t="s">
        <v>1870</v>
      </c>
      <c r="C38" s="1773"/>
    </row>
    <row r="39" spans="1:3">
      <c r="A39" s="2799" t="s">
        <v>1870</v>
      </c>
      <c r="B39" s="2799" t="s">
        <v>1870</v>
      </c>
      <c r="C39" s="1773"/>
    </row>
    <row r="40" spans="1:3">
      <c r="A40" s="2799" t="s">
        <v>1870</v>
      </c>
      <c r="B40" s="2799" t="s">
        <v>1870</v>
      </c>
      <c r="C40" s="1773"/>
    </row>
    <row r="41" spans="1:3">
      <c r="A41" s="2799" t="s">
        <v>1870</v>
      </c>
      <c r="B41" s="2799" t="s">
        <v>1870</v>
      </c>
      <c r="C41" s="1773"/>
    </row>
    <row r="42" spans="1:3">
      <c r="A42" s="2799" t="s">
        <v>1870</v>
      </c>
      <c r="B42" s="2799" t="s">
        <v>1870</v>
      </c>
      <c r="C42" s="1773"/>
    </row>
    <row r="43" spans="1:3">
      <c r="A43" s="2799" t="s">
        <v>1870</v>
      </c>
      <c r="B43" s="2799" t="s">
        <v>1870</v>
      </c>
      <c r="C43" s="1773"/>
    </row>
    <row r="44" spans="1:3">
      <c r="A44" s="2799" t="s">
        <v>1870</v>
      </c>
      <c r="B44" s="2799" t="s">
        <v>1870</v>
      </c>
      <c r="C44" s="1773"/>
    </row>
    <row r="45" spans="1:3">
      <c r="A45" s="2799" t="s">
        <v>1870</v>
      </c>
      <c r="B45" s="2799" t="s">
        <v>1870</v>
      </c>
      <c r="C45" s="1773"/>
    </row>
    <row r="46" spans="1:3">
      <c r="A46" s="2799" t="s">
        <v>1870</v>
      </c>
      <c r="B46" s="2799" t="s">
        <v>1870</v>
      </c>
      <c r="C46" s="1773"/>
    </row>
    <row r="47" spans="1:3">
      <c r="A47" s="2799" t="s">
        <v>1870</v>
      </c>
      <c r="B47" s="2799" t="s">
        <v>1870</v>
      </c>
      <c r="C47" s="1773"/>
    </row>
    <row r="48" spans="1:3">
      <c r="A48" s="2799" t="s">
        <v>1870</v>
      </c>
      <c r="B48" s="2799" t="s">
        <v>1870</v>
      </c>
      <c r="C48" s="1773"/>
    </row>
    <row r="49" spans="1:4">
      <c r="A49" s="2799" t="s">
        <v>1870</v>
      </c>
      <c r="B49" s="2799" t="s">
        <v>1870</v>
      </c>
      <c r="C49" s="1773"/>
    </row>
    <row r="50" spans="1:4">
      <c r="A50" s="2799" t="s">
        <v>1870</v>
      </c>
      <c r="B50" s="2799" t="s">
        <v>1870</v>
      </c>
      <c r="C50" s="1773"/>
    </row>
    <row r="51" spans="1:4">
      <c r="A51" s="1953" t="s">
        <v>2012</v>
      </c>
      <c r="B51" s="2096" t="str">
        <f>"为估价委托人在向"&amp;项目基本情况!B6&amp;"办理贷款手续过程中，确定房地产抵押贷款额度提供参考依据而评估房地产抵押价值。"</f>
        <v>为估价委托人在向民生银行南昌支行办理贷款手续过程中，确定房地产抵押贷款额度提供参考依据而评估房地产抵押价值。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金夕园甲1号三段-1至3层商业用房房地产房地产作为抵押担保物，向民生银行南昌支行办理贷款手续。民生银行南昌支行特委托北京康正宏基房地产评估有限公司对上述抵押物进行评估。本次评估为确定房地产抵押贷款额度提供参考依据而评估房地产抵押价值。</v>
      </c>
      <c r="D51" s="2096" t="s">
        <v>2866</v>
      </c>
    </row>
    <row r="52" spans="1:4">
      <c r="A52" s="1953" t="s">
        <v>2015</v>
      </c>
      <c r="B52" s="1953" t="s">
        <v>2016</v>
      </c>
      <c r="C52" s="1162" t="s">
        <v>2017</v>
      </c>
      <c r="D52" s="1162" t="s">
        <v>2018</v>
      </c>
    </row>
    <row r="53" spans="1:4">
      <c r="A53" s="3472" t="s">
        <v>2019</v>
      </c>
      <c r="B53" s="2096"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72"/>
      <c r="B54" s="2096" t="s">
        <v>2021</v>
      </c>
      <c r="C54" s="1162" t="s">
        <v>2863</v>
      </c>
    </row>
    <row r="55" spans="1:4">
      <c r="A55" s="3472"/>
      <c r="B55" s="2096" t="s">
        <v>2022</v>
      </c>
      <c r="C55" s="1162" t="s">
        <v>2864</v>
      </c>
    </row>
    <row r="56" spans="1:4">
      <c r="A56" s="3472"/>
      <c r="B56" s="2096" t="s">
        <v>2023</v>
      </c>
      <c r="C56" s="1162" t="s">
        <v>2874</v>
      </c>
    </row>
    <row r="57" spans="1:4">
      <c r="A57" s="3472"/>
      <c r="B57" s="2096" t="s">
        <v>2024</v>
      </c>
      <c r="C57" s="1162" t="s">
        <v>2865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F37" sqref="F3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2126</v>
      </c>
      <c r="B1" s="3481" t="str">
        <f>IF(B10="北京市","北京市",C10)&amp;F10&amp;IF(结果表!G1="在建","出让国有建设用地使用权及在建建筑物",IF(结果表!G1="土地","出让国有建设用地使用权",))&amp;B9&amp;"预评估"</f>
        <v>北京市海淀区金夕园甲1号三段-1至3层商业用房房地产房地产抵押价值预评估</v>
      </c>
      <c r="C1" s="3482"/>
      <c r="D1" s="3482"/>
      <c r="E1" s="3482"/>
      <c r="F1" s="3482"/>
      <c r="G1" s="3482"/>
      <c r="H1" s="3482"/>
      <c r="I1" s="3483"/>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北京市海淀区金夕园甲1号三段-1至3层商业用房房地产房地产抵押价值</v>
      </c>
    </row>
    <row r="2" spans="1:19" ht="18" customHeight="1">
      <c r="A2" s="1997" t="s">
        <v>2127</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北京市海淀区金夕园甲1号三段-1至3层商业用房房地产房地产</v>
      </c>
    </row>
    <row r="3" spans="1:19" ht="18" customHeight="1">
      <c r="A3" s="1942" t="s">
        <v>2005</v>
      </c>
      <c r="B3" s="3234">
        <v>42997</v>
      </c>
      <c r="C3" s="1925" t="s">
        <v>2006</v>
      </c>
      <c r="D3" s="3234">
        <f>B3</f>
        <v>42997</v>
      </c>
      <c r="E3" s="1997"/>
      <c r="F3" s="1997"/>
      <c r="G3" s="1997"/>
      <c r="H3" s="1997"/>
      <c r="I3" s="1997"/>
      <c r="J3" s="1997"/>
      <c r="K3" s="2103"/>
      <c r="L3" s="1998"/>
      <c r="M3" s="1998"/>
      <c r="N3" s="1197"/>
      <c r="O3" s="11"/>
      <c r="P3" s="1197"/>
      <c r="Q3" s="1197"/>
      <c r="R3" s="1197"/>
      <c r="S3" s="1196"/>
    </row>
    <row r="4" spans="1:19" ht="18" customHeight="1" thickBot="1">
      <c r="A4" s="1926" t="s">
        <v>2007</v>
      </c>
      <c r="B4" s="1927" t="s">
        <v>3086</v>
      </c>
      <c r="C4" s="1928">
        <f ca="1">SUMIF(注册房地产估价师,B4,估价师及机构信息!B3:B24)</f>
        <v>1120140022</v>
      </c>
      <c r="D4" s="1927" t="s">
        <v>3087</v>
      </c>
      <c r="E4" s="1929">
        <f ca="1">SUMIF(注册房地产估价师,D4,估价师及机构信息!B3:B24)</f>
        <v>1419970001</v>
      </c>
      <c r="F4" s="1927" t="s">
        <v>528</v>
      </c>
      <c r="G4" s="1956">
        <f>SUMIF(注册房地产估价师,F4,估价师及机构信息!B3:B24)</f>
        <v>0</v>
      </c>
      <c r="H4" s="1927" t="s">
        <v>528</v>
      </c>
      <c r="I4" s="2888">
        <f>SUMIF(注册房地产估价师,H4,估价师及机构信息!B3:B24)</f>
        <v>0</v>
      </c>
      <c r="J4" s="2002"/>
      <c r="K4" s="2104" t="str">
        <f ca="1">CONCATENATE(B4,"（注册号：",C4,")、",D4,"（注册号：",E4,")")</f>
        <v>刘梅（注册号：1120140022)、吴薇（注册号：1419970001)</v>
      </c>
      <c r="L4" s="1998"/>
      <c r="M4" s="1998"/>
      <c r="N4" s="1197"/>
      <c r="O4" s="11"/>
      <c r="P4" s="1197"/>
      <c r="Q4" s="1197"/>
      <c r="R4" s="1197"/>
      <c r="S4" s="1196"/>
    </row>
    <row r="5" spans="1:19" ht="18" customHeight="1" thickTop="1">
      <c r="A5" s="1930" t="s">
        <v>2091</v>
      </c>
      <c r="B5" s="3289" t="s">
        <v>3088</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2092</v>
      </c>
      <c r="B6" s="2042" t="s">
        <v>3089</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2869</v>
      </c>
      <c r="B7" s="3290"/>
      <c r="C7" s="2043"/>
      <c r="D7" s="2004"/>
      <c r="E7" s="2000"/>
      <c r="F7" s="2002"/>
      <c r="G7" s="2002"/>
      <c r="H7" s="2002"/>
      <c r="I7" s="2002"/>
      <c r="J7" s="2002"/>
      <c r="K7" s="2105"/>
      <c r="L7" s="1998"/>
      <c r="M7" s="1998"/>
      <c r="N7" s="1197"/>
      <c r="O7" s="11"/>
      <c r="P7" s="1197"/>
      <c r="Q7" s="1197"/>
      <c r="R7" s="1197"/>
    </row>
    <row r="8" spans="1:19" ht="18" customHeight="1">
      <c r="A8" s="1931" t="s">
        <v>1957</v>
      </c>
      <c r="B8" s="2036" t="s">
        <v>3064</v>
      </c>
      <c r="C8" s="2005"/>
      <c r="D8" s="3484" t="s">
        <v>2014</v>
      </c>
      <c r="E8" s="2037" t="s">
        <v>3090</v>
      </c>
      <c r="F8" s="2038"/>
      <c r="G8" s="1997"/>
      <c r="H8" s="1997"/>
      <c r="I8" s="1997"/>
      <c r="J8" s="2002"/>
      <c r="K8" s="2104"/>
      <c r="L8" s="1998"/>
      <c r="M8" s="1998"/>
      <c r="N8" s="1197"/>
      <c r="O8" s="11"/>
      <c r="P8" s="1197"/>
      <c r="Q8" s="1197"/>
      <c r="R8" s="1197"/>
    </row>
    <row r="9" spans="1:19" ht="18" customHeight="1" thickBot="1">
      <c r="A9" s="1956" t="s">
        <v>1958</v>
      </c>
      <c r="B9" s="1957" t="s">
        <v>3090</v>
      </c>
      <c r="C9" s="2006"/>
      <c r="D9" s="3485"/>
      <c r="E9" s="1957"/>
      <c r="F9" s="2891"/>
      <c r="G9" s="2001"/>
      <c r="H9" s="2001"/>
      <c r="I9" s="2001"/>
      <c r="J9" s="2002"/>
      <c r="K9" s="2105"/>
      <c r="L9" s="1998"/>
      <c r="M9" s="1998"/>
      <c r="N9" s="1197"/>
      <c r="O9" s="11"/>
      <c r="P9" s="1197"/>
      <c r="Q9" s="1197"/>
      <c r="R9" s="1197"/>
    </row>
    <row r="10" spans="1:19" ht="18" customHeight="1" thickTop="1">
      <c r="A10" s="2011" t="s">
        <v>2063</v>
      </c>
      <c r="B10" s="2057" t="s">
        <v>3091</v>
      </c>
      <c r="C10" s="2039"/>
      <c r="D10" s="2003"/>
      <c r="E10" s="1941" t="s">
        <v>1959</v>
      </c>
      <c r="F10" s="1954" t="s">
        <v>3092</v>
      </c>
      <c r="G10" s="2889"/>
      <c r="H10" s="2890"/>
      <c r="I10" s="2003"/>
      <c r="J10" s="2002"/>
      <c r="K10" s="2105"/>
      <c r="L10" s="1998"/>
      <c r="M10" s="1998"/>
      <c r="N10" s="1197"/>
      <c r="O10" s="11"/>
      <c r="P10" s="1197"/>
      <c r="Q10" s="1197"/>
      <c r="R10" s="1197"/>
    </row>
    <row r="11" spans="1:19" ht="18" customHeight="1">
      <c r="A11" s="1960" t="s">
        <v>2064</v>
      </c>
      <c r="B11" s="2056" t="s">
        <v>3093</v>
      </c>
      <c r="C11" s="2040" t="s">
        <v>3094</v>
      </c>
      <c r="D11" s="2007"/>
      <c r="E11" s="2002"/>
      <c r="F11" s="2002"/>
      <c r="G11" s="2002"/>
      <c r="H11" s="2002"/>
      <c r="I11" s="2002"/>
      <c r="J11" s="2002"/>
      <c r="K11" s="2105"/>
      <c r="L11" s="1998"/>
      <c r="M11" s="1998"/>
      <c r="N11" s="1197"/>
      <c r="O11" s="11"/>
      <c r="P11" s="1197"/>
      <c r="Q11" s="1197"/>
      <c r="R11" s="1197"/>
    </row>
    <row r="12" spans="1:19" ht="18" customHeight="1">
      <c r="A12" s="2055" t="s">
        <v>2090</v>
      </c>
      <c r="B12" s="2056" t="s">
        <v>2025</v>
      </c>
      <c r="C12" s="2014" t="s">
        <v>2094</v>
      </c>
      <c r="D12" s="2026" t="s">
        <v>1951</v>
      </c>
      <c r="E12" s="2026" t="s">
        <v>2706</v>
      </c>
      <c r="F12" s="2026" t="s">
        <v>2707</v>
      </c>
      <c r="G12" s="2026" t="s">
        <v>2708</v>
      </c>
      <c r="H12" s="2026" t="s">
        <v>2709</v>
      </c>
      <c r="I12" s="2026" t="s">
        <v>2710</v>
      </c>
      <c r="J12" s="2002"/>
      <c r="K12" s="2105"/>
      <c r="L12" s="1998"/>
      <c r="M12" s="1998"/>
      <c r="N12" s="1197"/>
      <c r="O12" s="11"/>
      <c r="P12" s="1197"/>
      <c r="Q12" s="1197"/>
      <c r="R12" s="1197"/>
    </row>
    <row r="13" spans="1:19" ht="18" customHeight="1">
      <c r="A13" s="2010"/>
      <c r="B13" s="2085"/>
      <c r="C13" s="2086" t="s">
        <v>2093</v>
      </c>
      <c r="D13" s="3233"/>
      <c r="E13" s="3233">
        <v>51762</v>
      </c>
      <c r="F13" s="3233"/>
      <c r="G13" s="3233"/>
      <c r="H13" s="3233"/>
      <c r="I13" s="2051"/>
      <c r="J13" s="2002"/>
      <c r="K13" s="2105"/>
      <c r="L13" s="1998"/>
      <c r="M13" s="1998"/>
      <c r="N13" s="1197"/>
      <c r="O13" s="11"/>
      <c r="P13" s="1197"/>
      <c r="Q13" s="1197"/>
      <c r="R13" s="1197"/>
    </row>
    <row r="14" spans="1:19" ht="18" customHeight="1">
      <c r="A14" s="2010"/>
      <c r="B14" s="2085"/>
      <c r="C14" s="2086" t="s">
        <v>2095</v>
      </c>
      <c r="D14" s="2054"/>
      <c r="E14" s="2054">
        <v>40</v>
      </c>
      <c r="F14" s="2054"/>
      <c r="G14" s="2054"/>
      <c r="H14" s="2054"/>
      <c r="I14" s="2054"/>
      <c r="J14" s="2002"/>
      <c r="K14" s="2106"/>
      <c r="L14" s="1998"/>
      <c r="M14" s="1998"/>
      <c r="N14" s="1197"/>
      <c r="O14" s="11"/>
      <c r="P14" s="1197"/>
      <c r="Q14" s="1197"/>
      <c r="R14" s="1197"/>
    </row>
    <row r="15" spans="1:19" ht="18" customHeight="1">
      <c r="A15" s="2011"/>
      <c r="B15" s="2087"/>
      <c r="C15" s="2086" t="s">
        <v>2096</v>
      </c>
      <c r="D15" s="2053" t="str">
        <f>IF(B12="出让",IF(D13="","",ROUNDDOWN(MIN((D13-$D$3)/365,D14),2)),D14)</f>
        <v/>
      </c>
      <c r="E15" s="2053">
        <f>IF(B12="出让",IF(E13="","",ROUNDDOWN(MIN((E13-$D$3)/365,E14),2)),E14)</f>
        <v>24.01</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2097</v>
      </c>
      <c r="B16" s="3491" t="s">
        <v>3095</v>
      </c>
      <c r="C16" s="3492"/>
      <c r="D16" s="3493"/>
      <c r="E16" s="1958" t="s">
        <v>2026</v>
      </c>
      <c r="F16" s="3494" t="s">
        <v>3096</v>
      </c>
      <c r="G16" s="3495"/>
      <c r="H16" s="3495"/>
      <c r="I16" s="3496"/>
      <c r="J16" s="1197"/>
      <c r="K16" s="2107"/>
      <c r="L16" s="1231"/>
      <c r="M16" s="1231"/>
      <c r="N16" s="2022"/>
      <c r="O16" s="1231"/>
      <c r="P16" s="2022"/>
      <c r="Q16" s="1197"/>
      <c r="R16" s="1197"/>
    </row>
    <row r="17" spans="1:22" ht="18" customHeight="1">
      <c r="A17" s="2009" t="s">
        <v>1960</v>
      </c>
      <c r="B17" s="1942" t="s">
        <v>1961</v>
      </c>
      <c r="C17" s="2088">
        <f>'数据-汇总表'!E3</f>
        <v>3441.66</v>
      </c>
      <c r="D17" s="1943" t="s">
        <v>1962</v>
      </c>
      <c r="E17" s="3497" t="s">
        <v>3097</v>
      </c>
      <c r="F17" s="3498"/>
      <c r="G17" s="3498"/>
      <c r="H17" s="3498"/>
      <c r="I17" s="3499"/>
      <c r="J17" s="1197"/>
      <c r="K17" s="2698"/>
      <c r="L17" s="1231"/>
      <c r="M17" s="1231"/>
      <c r="N17" s="2022"/>
      <c r="O17" s="1231"/>
      <c r="P17" s="2022"/>
      <c r="Q17" s="1197"/>
      <c r="R17" s="1197"/>
      <c r="S17" s="1197"/>
      <c r="T17" s="1197"/>
      <c r="U17" s="1197"/>
      <c r="V17" s="1197"/>
    </row>
    <row r="18" spans="1:22" ht="36" customHeight="1" thickBot="1">
      <c r="A18" s="2897" t="s">
        <v>528</v>
      </c>
      <c r="B18" s="1926" t="s">
        <v>1963</v>
      </c>
      <c r="C18" s="2898">
        <f>'数据-汇总表'!D3</f>
        <v>0</v>
      </c>
      <c r="D18" s="2899" t="s">
        <v>1962</v>
      </c>
      <c r="E18" s="3500"/>
      <c r="F18" s="3501"/>
      <c r="G18" s="3501"/>
      <c r="H18" s="3501"/>
      <c r="I18" s="3502"/>
      <c r="J18" s="1197"/>
      <c r="K18" s="2698"/>
      <c r="L18" s="1231"/>
      <c r="M18" s="1231"/>
      <c r="N18" s="2022"/>
      <c r="O18" s="1231"/>
      <c r="P18" s="2022"/>
      <c r="Q18" s="1197"/>
      <c r="R18" s="1197"/>
      <c r="S18" s="1197"/>
      <c r="T18" s="1197"/>
      <c r="U18" s="1197"/>
      <c r="V18" s="1197"/>
    </row>
    <row r="19" spans="1:22" ht="37.5" customHeight="1" thickTop="1" thickBot="1">
      <c r="A19" s="2896" t="s">
        <v>2043</v>
      </c>
      <c r="B19" s="2062" t="s">
        <v>2044</v>
      </c>
      <c r="C19" s="2063" t="s">
        <v>41</v>
      </c>
      <c r="D19" s="2045" t="s">
        <v>2047</v>
      </c>
      <c r="E19" s="2044" t="s">
        <v>41</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2048</v>
      </c>
      <c r="B20" s="3487" t="s">
        <v>2049</v>
      </c>
      <c r="C20" s="3488"/>
      <c r="D20" s="3489" t="s">
        <v>2050</v>
      </c>
      <c r="E20" s="3490"/>
      <c r="F20" s="2070" t="s">
        <v>2051</v>
      </c>
      <c r="G20" s="2002"/>
      <c r="H20" s="2002"/>
      <c r="I20" s="2002"/>
      <c r="J20" s="2002"/>
      <c r="K20" s="3486" t="s">
        <v>2046</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2052</v>
      </c>
      <c r="C21" s="2034" t="s">
        <v>2053</v>
      </c>
      <c r="D21" s="1991" t="s">
        <v>2056</v>
      </c>
      <c r="E21" s="2035" t="s">
        <v>2053</v>
      </c>
      <c r="F21" s="1980"/>
      <c r="G21" s="2002"/>
      <c r="H21" s="2002"/>
      <c r="I21" s="2002"/>
      <c r="J21" s="2002"/>
      <c r="K21" s="3486"/>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4"/>
      <c r="B22" s="2066" t="s">
        <v>2054</v>
      </c>
      <c r="C22" s="2034" t="s">
        <v>2055</v>
      </c>
      <c r="D22" s="1997"/>
      <c r="E22" s="1997"/>
      <c r="F22" s="2071"/>
      <c r="G22" s="2002"/>
      <c r="H22" s="2002"/>
      <c r="I22" s="2002"/>
      <c r="J22" s="2002"/>
      <c r="K22" s="3486"/>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2057</v>
      </c>
      <c r="B23" s="2067" t="s">
        <v>2058</v>
      </c>
      <c r="C23" s="2068"/>
      <c r="D23" s="1981" t="s">
        <v>2058</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2059</v>
      </c>
      <c r="C24" s="2069"/>
      <c r="D24" s="1979" t="s">
        <v>2059</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2060</v>
      </c>
      <c r="C25" s="2069"/>
      <c r="D25" s="1979" t="s">
        <v>2060</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2061</v>
      </c>
      <c r="C26" s="2073"/>
      <c r="D26" s="2061" t="s">
        <v>2061</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74" t="s">
        <v>2065</v>
      </c>
      <c r="B27" s="2011" t="s">
        <v>2066</v>
      </c>
      <c r="C27" s="1932" t="s">
        <v>3065</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74"/>
      <c r="B28" s="1942" t="s">
        <v>2067</v>
      </c>
      <c r="C28" s="1934" t="s">
        <v>148</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74"/>
      <c r="B29" s="1942" t="s">
        <v>2068</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75"/>
      <c r="B30" s="1942" t="s">
        <v>2069</v>
      </c>
      <c r="C30" s="3476"/>
      <c r="D30" s="3477"/>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78" t="s">
        <v>2070</v>
      </c>
      <c r="B31" s="1938" t="s">
        <v>3066</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79"/>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79"/>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2027</v>
      </c>
      <c r="B34" s="1962" t="s">
        <v>3098</v>
      </c>
      <c r="C34" s="1962" t="s">
        <v>3099</v>
      </c>
      <c r="D34" s="1962" t="s">
        <v>3100</v>
      </c>
      <c r="E34" s="1962" t="s">
        <v>3101</v>
      </c>
      <c r="F34" s="1962" t="s">
        <v>3102</v>
      </c>
      <c r="G34" s="1962" t="s">
        <v>3103</v>
      </c>
      <c r="H34" s="1962" t="s">
        <v>3104</v>
      </c>
      <c r="I34" s="2002"/>
      <c r="J34" s="2002"/>
      <c r="K34" s="2886">
        <f>COUNTIF(B34:H34,"——")</f>
        <v>0</v>
      </c>
      <c r="L34" s="2014" t="s">
        <v>2099</v>
      </c>
      <c r="M34" s="2014" t="s">
        <v>2100</v>
      </c>
      <c r="N34" s="2014" t="s">
        <v>2101</v>
      </c>
      <c r="O34" s="2014" t="s">
        <v>2102</v>
      </c>
      <c r="P34" s="2014" t="s">
        <v>2103</v>
      </c>
      <c r="Q34" s="2014" t="s">
        <v>2104</v>
      </c>
      <c r="R34" s="2014" t="s">
        <v>2105</v>
      </c>
      <c r="S34" s="3473" t="s">
        <v>2106</v>
      </c>
      <c r="T34" s="2015" t="str">
        <f>NUMBERSTRING(7-K34,1)&amp;"通"</f>
        <v>七通</v>
      </c>
      <c r="U34" s="1197"/>
      <c r="V34" s="1197"/>
    </row>
    <row r="35" spans="1:22" ht="18" customHeight="1">
      <c r="A35" s="2016"/>
      <c r="B35" s="3480" t="s">
        <v>1876</v>
      </c>
      <c r="C35" s="3480"/>
      <c r="D35" s="3480"/>
      <c r="E35" s="3480"/>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73"/>
      <c r="T35" s="23" t="str">
        <f>IF(T34="一通",L35,IF(T34="二通",M35,IF(T34="三通",N35,IF(T34="四通",O35,IF(T34="五通",P35,IF(T34="六通",Q35,R35))))))</f>
        <v>通路、通电、通讯、通上水、通下水、通热、燃气</v>
      </c>
      <c r="U35" s="1197"/>
      <c r="V35" s="1197"/>
    </row>
    <row r="36" spans="1:22" ht="18" customHeight="1">
      <c r="A36" s="2018"/>
      <c r="B36" s="2017" t="s">
        <v>1956</v>
      </c>
      <c r="C36" s="2017" t="s">
        <v>1952</v>
      </c>
      <c r="D36" s="2017" t="s">
        <v>1951</v>
      </c>
      <c r="E36" s="2017" t="s">
        <v>1953</v>
      </c>
      <c r="F36" s="2019">
        <v>17810</v>
      </c>
      <c r="G36" s="2002"/>
      <c r="H36" s="2002"/>
      <c r="I36" s="2002"/>
      <c r="J36" s="2002"/>
      <c r="K36" s="2105"/>
      <c r="L36" s="1998"/>
      <c r="M36" s="1998"/>
      <c r="N36" s="1197"/>
      <c r="O36" s="11"/>
      <c r="P36" s="1197"/>
      <c r="Q36" s="1197"/>
      <c r="R36" s="1197"/>
      <c r="S36" s="1197"/>
      <c r="T36" s="1197"/>
      <c r="U36" s="1197"/>
      <c r="V36" s="1197"/>
    </row>
    <row r="37" spans="1:22" ht="18" customHeight="1">
      <c r="A37" s="2020" t="s">
        <v>1875</v>
      </c>
      <c r="B37" s="2021" t="s">
        <v>1139</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1877</v>
      </c>
      <c r="B38" s="2049" t="s">
        <v>1244</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3031</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2071</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2072</v>
      </c>
      <c r="B42" s="1988" t="s">
        <v>2073</v>
      </c>
      <c r="C42" s="1988" t="s">
        <v>2074</v>
      </c>
      <c r="D42" s="1988" t="s">
        <v>2075</v>
      </c>
      <c r="E42" s="1988" t="s">
        <v>2076</v>
      </c>
      <c r="F42" s="1988" t="s">
        <v>2077</v>
      </c>
      <c r="G42" s="1988" t="s">
        <v>2078</v>
      </c>
      <c r="H42" s="1988" t="s">
        <v>2079</v>
      </c>
      <c r="I42" s="1988" t="s">
        <v>2080</v>
      </c>
      <c r="J42" s="2101" t="s">
        <v>2081</v>
      </c>
      <c r="K42" s="2026" t="s">
        <v>2082</v>
      </c>
      <c r="L42" s="2026" t="s">
        <v>2083</v>
      </c>
      <c r="M42" s="2026" t="s">
        <v>2084</v>
      </c>
      <c r="N42" s="1988" t="s">
        <v>2085</v>
      </c>
      <c r="O42" s="1988" t="s">
        <v>2086</v>
      </c>
      <c r="P42" s="1988" t="s">
        <v>2087</v>
      </c>
      <c r="Q42" s="2014" t="s">
        <v>2088</v>
      </c>
      <c r="R42" s="2014" t="s">
        <v>2089</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612</v>
      </c>
      <c r="B2" s="82" t="s">
        <v>613</v>
      </c>
      <c r="C2" s="82" t="s">
        <v>614</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2407</v>
      </c>
      <c r="AZ2" s="2522" t="s">
        <v>2408</v>
      </c>
      <c r="BA2" s="2523" t="s">
        <v>2409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c r="B3" s="302">
        <f>IF(C3="否",G5-AT5,G5)</f>
        <v>3441.66</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615</v>
      </c>
      <c r="B5" s="220"/>
      <c r="C5" s="220"/>
      <c r="D5" s="218"/>
      <c r="E5" s="305" t="s">
        <v>23</v>
      </c>
      <c r="F5" s="305">
        <f>SUM(F13:F587)</f>
        <v>0</v>
      </c>
      <c r="G5" s="305">
        <f>SUM(G13:G587)</f>
        <v>3441.66</v>
      </c>
      <c r="H5" s="305">
        <f t="shared" ref="H5:AT5" si="0">SUM(H13:H656)</f>
        <v>3441.66</v>
      </c>
      <c r="I5" s="305">
        <f t="shared" si="0"/>
        <v>2405.1799999999998</v>
      </c>
      <c r="J5" s="305">
        <f t="shared" si="0"/>
        <v>0</v>
      </c>
      <c r="K5" s="305">
        <f t="shared" si="0"/>
        <v>1036.48</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3441.66</v>
      </c>
      <c r="BA5" s="307">
        <f t="shared" si="1"/>
        <v>3441.66</v>
      </c>
      <c r="BB5" s="307">
        <f t="shared" si="1"/>
        <v>2405.1799999999998</v>
      </c>
      <c r="BC5" s="307">
        <f t="shared" si="1"/>
        <v>1036.48</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616</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631</v>
      </c>
      <c r="I9" s="244" t="s">
        <v>3070</v>
      </c>
      <c r="J9" s="245"/>
      <c r="K9" s="244" t="s">
        <v>3071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3042</v>
      </c>
      <c r="J10" s="245"/>
      <c r="K10" s="252" t="s">
        <v>3042</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2396</v>
      </c>
      <c r="AE11" s="2493"/>
      <c r="AF11" s="2514" t="s">
        <v>2396</v>
      </c>
      <c r="AG11" s="2493"/>
      <c r="AH11" s="2514" t="s">
        <v>2397</v>
      </c>
      <c r="AI11" s="2515"/>
      <c r="AJ11" s="2514" t="s">
        <v>2397</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3134</v>
      </c>
      <c r="D13" s="217" t="s">
        <v>3053</v>
      </c>
      <c r="E13" s="305">
        <f>IF($C$3="是",ROUND($A$3*G13/$B$3,2),ROUND($A$3*(G13-AT13)/$B$3,2))</f>
        <v>0</v>
      </c>
      <c r="F13" s="321"/>
      <c r="G13" s="322">
        <f>H13+AC13+AT13</f>
        <v>3045.67</v>
      </c>
      <c r="H13" s="309">
        <f>SUMIF(I$12:AB$12,"总值",I13:AB13)</f>
        <v>3045.67</v>
      </c>
      <c r="I13" s="1418">
        <f>'数据-汇总表'!F19</f>
        <v>2278.1799999999998</v>
      </c>
      <c r="J13" s="1418"/>
      <c r="K13" s="1418">
        <f>'数据-汇总表'!G19</f>
        <v>767.49</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商业已出租</v>
      </c>
      <c r="AY13" s="304">
        <f>ROUND($AY$6*AZ13/$AZ$5,2)</f>
        <v>0</v>
      </c>
      <c r="AZ13" s="305">
        <f>BA13+BL13</f>
        <v>3045.67</v>
      </c>
      <c r="BA13" s="305">
        <f>SUM(BB13:BK13)</f>
        <v>3045.67</v>
      </c>
      <c r="BB13" s="305">
        <f>IF($D13="是",I13-J13,0)</f>
        <v>2278.1799999999998</v>
      </c>
      <c r="BC13" s="305">
        <f>IF($D13="是",K13-L13,0)</f>
        <v>767.49</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3135</v>
      </c>
      <c r="D14" s="217" t="s">
        <v>3053</v>
      </c>
      <c r="E14" s="305">
        <f>IF($C$3="是",ROUND($A$3*G14/$B$3,2),ROUND($A$3*(G14-AT14)/$B$3,2))</f>
        <v>0</v>
      </c>
      <c r="F14" s="321"/>
      <c r="G14" s="322">
        <f>H14+AC14+AT14</f>
        <v>395.99</v>
      </c>
      <c r="H14" s="309">
        <f>SUMIF(I$12:AB$12,"总值",I14:AB14)</f>
        <v>395.99</v>
      </c>
      <c r="I14" s="3425">
        <f>3441.66-I13-K13-K14</f>
        <v>127</v>
      </c>
      <c r="J14" s="3425"/>
      <c r="K14" s="3425">
        <f>1036.48-K13</f>
        <v>268.99</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商业未出租</v>
      </c>
      <c r="AY14" s="304">
        <f>ROUND($AY$6*AZ14/$AZ$5,2)</f>
        <v>0</v>
      </c>
      <c r="AZ14" s="305">
        <f>BA14+BL14</f>
        <v>395.99</v>
      </c>
      <c r="BA14" s="305">
        <f>SUM(BB14:BK14)</f>
        <v>395.99</v>
      </c>
      <c r="BB14" s="305">
        <f>IF($D14="是",I14-J14,0)</f>
        <v>127</v>
      </c>
      <c r="BC14" s="305">
        <f>IF($D14="是",K14-L14,0)</f>
        <v>268.99</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t="s">
        <v>3053</v>
      </c>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46" t="s">
        <v>2</v>
      </c>
      <c r="B1" s="3446" t="s">
        <v>37</v>
      </c>
      <c r="C1" s="3446" t="s">
        <v>38</v>
      </c>
      <c r="D1" s="3503" t="s">
        <v>198</v>
      </c>
      <c r="E1" s="3503" t="s">
        <v>199</v>
      </c>
      <c r="F1" s="3503"/>
      <c r="G1" s="3503"/>
      <c r="H1" s="3503"/>
      <c r="I1" s="3503"/>
      <c r="J1" s="3503"/>
      <c r="K1" s="3503"/>
      <c r="L1" s="3503"/>
      <c r="M1" s="3503"/>
    </row>
    <row r="2" spans="1:13" ht="27" customHeight="1">
      <c r="A2" s="3446"/>
      <c r="B2" s="3446"/>
      <c r="C2" s="3446"/>
      <c r="D2" s="3503"/>
      <c r="E2" s="3503" t="s">
        <v>182</v>
      </c>
      <c r="F2" s="3503" t="s">
        <v>183</v>
      </c>
      <c r="G2" s="3503"/>
      <c r="H2" s="3503"/>
      <c r="I2" s="3503"/>
      <c r="J2" s="3503" t="s">
        <v>184</v>
      </c>
      <c r="K2" s="3503"/>
      <c r="L2" s="3503"/>
      <c r="M2" s="3503"/>
    </row>
    <row r="3" spans="1:13" ht="28.5">
      <c r="A3" s="3446"/>
      <c r="B3" s="3446"/>
      <c r="C3" s="3446"/>
      <c r="D3" s="3503"/>
      <c r="E3" s="3503"/>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3" t="s">
        <v>200</v>
      </c>
      <c r="B9" s="3503"/>
      <c r="C9" s="350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639</v>
      </c>
      <c r="B1" s="2227"/>
      <c r="C1" s="2227"/>
      <c r="D1" s="2227"/>
      <c r="E1" s="2227"/>
      <c r="F1" s="2227"/>
      <c r="G1" s="2227"/>
      <c r="H1" s="2227"/>
      <c r="I1" s="2227"/>
      <c r="J1" s="2227"/>
      <c r="K1" s="2227"/>
      <c r="L1" s="2227"/>
      <c r="M1" s="2227"/>
      <c r="N1" s="2227"/>
      <c r="O1" s="2227"/>
      <c r="P1" s="2227"/>
    </row>
    <row r="2" spans="1:16">
      <c r="A2" s="3513" t="s">
        <v>640</v>
      </c>
      <c r="B2" s="3513"/>
      <c r="C2" s="3513"/>
      <c r="D2" s="2211" t="s">
        <v>641</v>
      </c>
      <c r="E2" s="19" t="s">
        <v>642</v>
      </c>
      <c r="F2" s="2227"/>
      <c r="G2" s="1180"/>
      <c r="H2" s="1181"/>
      <c r="I2" s="2219" t="s">
        <v>643</v>
      </c>
      <c r="J2" s="2227"/>
      <c r="K2" s="2227"/>
      <c r="L2" s="2227"/>
      <c r="M2" s="2227"/>
      <c r="N2" s="2236"/>
      <c r="O2" s="2227"/>
      <c r="P2" s="2227"/>
    </row>
    <row r="3" spans="1:16" ht="15.75" thickBot="1">
      <c r="A3" s="3514" t="s">
        <v>644</v>
      </c>
      <c r="B3" s="3514"/>
      <c r="C3" s="3514"/>
      <c r="D3" s="335">
        <f>'数据-基础表'!AY6</f>
        <v>0</v>
      </c>
      <c r="E3" s="335">
        <f>'数据-基础表'!AZ5</f>
        <v>3441.66</v>
      </c>
      <c r="F3" s="2227"/>
      <c r="G3" s="442"/>
      <c r="H3" s="440" t="s">
        <v>645</v>
      </c>
      <c r="I3" s="344" t="e">
        <f>ROUND('数据-基础表'!B3/'数据-基础表'!A3,2)</f>
        <v>#DIV/0!</v>
      </c>
      <c r="J3" s="2227"/>
      <c r="K3" s="2227"/>
      <c r="L3" s="2227"/>
      <c r="M3" s="2227"/>
      <c r="N3" s="2236"/>
      <c r="O3" s="2227"/>
      <c r="P3" s="2227"/>
    </row>
    <row r="4" spans="1:16" ht="14.25">
      <c r="A4" s="3515"/>
      <c r="B4" s="3516"/>
      <c r="C4" s="3517"/>
      <c r="D4" s="20" t="s">
        <v>641</v>
      </c>
      <c r="E4" s="21" t="s">
        <v>642</v>
      </c>
      <c r="F4" s="2227"/>
      <c r="G4" s="1182" t="s">
        <v>1794</v>
      </c>
      <c r="H4" s="440" t="s">
        <v>646</v>
      </c>
      <c r="I4" s="344" t="e">
        <f>ROUND(SUMIF('数据-基础表'!I9:AS9,"地上",'数据-基础表'!I5:AS5)/'数据-基础表'!A3,2)</f>
        <v>#DIV/0!</v>
      </c>
      <c r="J4" s="2227"/>
      <c r="K4" s="2227"/>
      <c r="L4" s="2227"/>
      <c r="M4" s="2227"/>
      <c r="N4" s="2236"/>
      <c r="O4" s="2227"/>
      <c r="P4" s="2227"/>
    </row>
    <row r="5" spans="1:16" ht="14.25">
      <c r="A5" s="22" t="s">
        <v>647</v>
      </c>
      <c r="B5" s="3518" t="s">
        <v>648</v>
      </c>
      <c r="C5" s="3518"/>
      <c r="D5" s="337">
        <f>ROUND($D$3*E5/$E$3,2)</f>
        <v>0</v>
      </c>
      <c r="E5" s="338">
        <f>SUMIF('数据-基础表'!$11:$11,"住宅",'数据-基础表'!$5:$5)</f>
        <v>0</v>
      </c>
      <c r="F5" s="2227"/>
      <c r="G5" s="442"/>
      <c r="H5" s="440" t="s">
        <v>645</v>
      </c>
      <c r="I5" s="344" t="e">
        <f>ROUND(E31/D31,2)</f>
        <v>#DIV/0!</v>
      </c>
      <c r="J5" s="2227"/>
      <c r="K5" s="2227"/>
      <c r="L5" s="2227"/>
      <c r="M5" s="2227"/>
      <c r="N5" s="2227"/>
      <c r="O5" s="2227"/>
      <c r="P5" s="2227"/>
    </row>
    <row r="6" spans="1:16" ht="15" thickBot="1">
      <c r="A6" s="24"/>
      <c r="B6" s="3518" t="s">
        <v>649</v>
      </c>
      <c r="C6" s="3518"/>
      <c r="D6" s="337">
        <f>ROUND($D$3*E6/$E$3,2)</f>
        <v>0</v>
      </c>
      <c r="E6" s="338">
        <f>E3-E5</f>
        <v>3441.66</v>
      </c>
      <c r="F6" s="2227"/>
      <c r="G6" s="1761" t="s">
        <v>1795</v>
      </c>
      <c r="H6" s="442" t="s">
        <v>646</v>
      </c>
      <c r="I6" s="1762" t="e">
        <f>ROUND(F31/D31,2)</f>
        <v>#DIV/0!</v>
      </c>
      <c r="J6" s="2227"/>
      <c r="K6" s="2227"/>
      <c r="L6" s="2227"/>
      <c r="M6" s="2227"/>
      <c r="N6" s="2227"/>
      <c r="O6" s="2227"/>
      <c r="P6" s="2227"/>
    </row>
    <row r="7" spans="1:16" ht="14.25">
      <c r="A7" s="3510"/>
      <c r="B7" s="3511"/>
      <c r="C7" s="3512"/>
      <c r="D7" s="20" t="s">
        <v>641</v>
      </c>
      <c r="E7" s="25" t="s">
        <v>642</v>
      </c>
      <c r="F7" s="2227"/>
      <c r="G7" s="1180" t="s">
        <v>1874</v>
      </c>
      <c r="H7" s="38"/>
      <c r="I7" s="763"/>
      <c r="J7" s="2227"/>
      <c r="K7" s="2227"/>
      <c r="L7" s="2227"/>
      <c r="M7" s="2227"/>
      <c r="N7" s="2227"/>
      <c r="O7" s="2227"/>
      <c r="P7" s="2227"/>
    </row>
    <row r="8" spans="1:16" ht="14.25">
      <c r="A8" s="22" t="s">
        <v>650</v>
      </c>
      <c r="B8" s="26" t="s">
        <v>651</v>
      </c>
      <c r="C8" s="23" t="s">
        <v>652</v>
      </c>
      <c r="D8" s="337">
        <f t="shared" ref="D8:D15" si="0">ROUND($D$3*E8/$E$3,2)</f>
        <v>0</v>
      </c>
      <c r="E8" s="340">
        <f>SUMIF('数据-基础表'!BB10:BK10,"地上",'数据-基础表'!BB5:BK5)</f>
        <v>2405.1799999999998</v>
      </c>
      <c r="F8" s="2227"/>
      <c r="G8" s="2228"/>
      <c r="H8" s="2228"/>
      <c r="I8" s="2227"/>
      <c r="J8" s="2227"/>
      <c r="K8" s="2227"/>
      <c r="L8" s="2227"/>
      <c r="M8" s="2227"/>
      <c r="N8" s="2227"/>
      <c r="O8" s="2227"/>
      <c r="P8" s="2227"/>
    </row>
    <row r="9" spans="1:16" ht="14.25">
      <c r="A9" s="27"/>
      <c r="B9" s="28"/>
      <c r="C9" s="23" t="s">
        <v>653</v>
      </c>
      <c r="D9" s="337">
        <f t="shared" si="0"/>
        <v>0</v>
      </c>
      <c r="E9" s="341">
        <v>0</v>
      </c>
      <c r="F9" s="2227"/>
      <c r="G9" s="2228"/>
      <c r="H9" s="2228"/>
      <c r="I9" s="2227"/>
      <c r="J9" s="2227"/>
      <c r="K9" s="2227"/>
      <c r="L9" s="2227"/>
      <c r="M9" s="2227"/>
      <c r="N9" s="2227"/>
      <c r="O9" s="2227"/>
      <c r="P9" s="2227"/>
    </row>
    <row r="10" spans="1:16" ht="14.25">
      <c r="A10" s="27"/>
      <c r="B10" s="28"/>
      <c r="C10" s="23" t="s">
        <v>654</v>
      </c>
      <c r="D10" s="337">
        <f t="shared" si="0"/>
        <v>0</v>
      </c>
      <c r="E10" s="340">
        <f>SUMPRODUCT(('数据-基础表'!BB10:BK10="地下")*('数据-基础表'!BB11:BK11="商业")*('数据-基础表'!BB5:BK5))</f>
        <v>1036.48</v>
      </c>
      <c r="F10" s="2227"/>
      <c r="G10" s="2228"/>
      <c r="H10" s="2228"/>
      <c r="I10" s="2227"/>
      <c r="J10" s="2227"/>
      <c r="K10" s="2227"/>
      <c r="L10" s="2227"/>
      <c r="M10" s="2227"/>
      <c r="N10" s="2227"/>
      <c r="O10" s="2227"/>
      <c r="P10" s="2227"/>
    </row>
    <row r="11" spans="1:16" ht="14.25">
      <c r="A11" s="27"/>
      <c r="B11" s="28"/>
      <c r="C11" s="23" t="s">
        <v>2398</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655</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656</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657</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658</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659</v>
      </c>
      <c r="D16" s="339">
        <f>SUM(D8:D15)</f>
        <v>0</v>
      </c>
      <c r="E16" s="342">
        <f>SUM(E8:E15)</f>
        <v>3441.66</v>
      </c>
      <c r="F16" s="2227"/>
      <c r="G16" s="2228"/>
      <c r="H16" s="1179" t="s">
        <v>531</v>
      </c>
      <c r="I16" s="1183"/>
      <c r="J16" s="2227"/>
      <c r="K16" s="3507" t="s">
        <v>531</v>
      </c>
      <c r="L16" s="3508"/>
      <c r="M16" s="3508"/>
      <c r="N16" s="3508"/>
      <c r="O16" s="3508"/>
      <c r="P16" s="3509"/>
    </row>
    <row r="17" spans="1:19" ht="14.25">
      <c r="A17" s="29" t="s">
        <v>660</v>
      </c>
      <c r="B17" s="30" t="s">
        <v>661</v>
      </c>
      <c r="C17" s="34" t="s">
        <v>2389</v>
      </c>
      <c r="D17" s="2077" t="s">
        <v>641</v>
      </c>
      <c r="E17" s="2075" t="s">
        <v>642</v>
      </c>
      <c r="F17" s="36"/>
      <c r="G17" s="37"/>
      <c r="H17" s="1184" t="s">
        <v>662</v>
      </c>
      <c r="I17" s="1185" t="s">
        <v>205</v>
      </c>
      <c r="J17" s="2227"/>
      <c r="K17" s="3504" t="s">
        <v>668</v>
      </c>
      <c r="L17" s="3505"/>
      <c r="M17" s="3506"/>
      <c r="N17" s="3504" t="s">
        <v>2691</v>
      </c>
      <c r="O17" s="3505"/>
      <c r="P17" s="3506"/>
      <c r="R17" s="2487" t="s">
        <v>2390</v>
      </c>
      <c r="S17" s="354"/>
    </row>
    <row r="18" spans="1:19">
      <c r="A18" s="27"/>
      <c r="B18" s="31"/>
      <c r="C18" s="35"/>
      <c r="D18" s="2078"/>
      <c r="E18" s="2076" t="s">
        <v>663</v>
      </c>
      <c r="F18" s="15" t="s">
        <v>664</v>
      </c>
      <c r="G18" s="16" t="s">
        <v>665</v>
      </c>
      <c r="H18" s="1186" t="s">
        <v>666</v>
      </c>
      <c r="I18" s="1187" t="s">
        <v>667</v>
      </c>
      <c r="J18" s="2227"/>
      <c r="K18" s="1186" t="s">
        <v>2684</v>
      </c>
      <c r="L18" s="6" t="s">
        <v>2692</v>
      </c>
      <c r="M18" s="2805" t="s">
        <v>2690</v>
      </c>
      <c r="N18" s="1186" t="s">
        <v>2684</v>
      </c>
      <c r="O18" s="6" t="s">
        <v>2692</v>
      </c>
      <c r="P18" s="2805" t="s">
        <v>2690</v>
      </c>
      <c r="R18" s="2488" t="s">
        <v>2391</v>
      </c>
      <c r="S18" s="2488" t="s">
        <v>2392</v>
      </c>
    </row>
    <row r="19" spans="1:19" ht="14.25">
      <c r="A19" s="32"/>
      <c r="B19" s="26" t="s">
        <v>117</v>
      </c>
      <c r="C19" s="1421" t="s">
        <v>3131</v>
      </c>
      <c r="D19" s="337">
        <f>ROUND($D$3*E19/$E$3,2)</f>
        <v>0</v>
      </c>
      <c r="E19" s="345">
        <f t="shared" ref="E19:E26" si="1">SUM(F19:G19)</f>
        <v>3045.67</v>
      </c>
      <c r="F19" s="346">
        <f>1123.81+1154.37</f>
        <v>2278.1799999999998</v>
      </c>
      <c r="G19" s="347">
        <v>767.49</v>
      </c>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0</v>
      </c>
      <c r="S19" s="2490">
        <f t="shared" si="5"/>
        <v>3045.67</v>
      </c>
    </row>
    <row r="20" spans="1:19" ht="14.25">
      <c r="A20" s="33"/>
      <c r="B20" s="26" t="s">
        <v>634</v>
      </c>
      <c r="C20" s="1421" t="s">
        <v>3133</v>
      </c>
      <c r="D20" s="337">
        <f t="shared" ref="D20:D26" si="6">ROUND($D$3*E20/$E$3,2)</f>
        <v>0</v>
      </c>
      <c r="E20" s="345">
        <f t="shared" si="1"/>
        <v>395.99</v>
      </c>
      <c r="F20" s="346">
        <f>'数据-基础表'!I14</f>
        <v>127</v>
      </c>
      <c r="G20" s="347">
        <f>'数据-基础表'!K14</f>
        <v>268.99</v>
      </c>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0</v>
      </c>
      <c r="S20" s="2490">
        <f t="shared" si="5"/>
        <v>395.99</v>
      </c>
    </row>
    <row r="21" spans="1:19" ht="14.25">
      <c r="A21" s="33"/>
      <c r="B21" s="26" t="s">
        <v>634</v>
      </c>
      <c r="C21" s="1421"/>
      <c r="D21" s="337">
        <f t="shared" si="6"/>
        <v>0</v>
      </c>
      <c r="E21" s="345">
        <f t="shared" si="1"/>
        <v>0</v>
      </c>
      <c r="F21" s="346"/>
      <c r="G21" s="346"/>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634</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634</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634</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634</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634</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635</v>
      </c>
      <c r="D27" s="2809">
        <f>SUM(D19:D26)</f>
        <v>0</v>
      </c>
      <c r="E27" s="2810">
        <f>IF(SUM(E19:E26)='数据-基础表'!BA5,SUM(E19:E26),IF(F27="地上面积有误","面积有误","地下面积有误"))</f>
        <v>3441.66</v>
      </c>
      <c r="F27" s="2809">
        <f>IF(SUM(F19:F26)=E8,SUM(F19:F26),"地上面积有误")</f>
        <v>2405.1799999999998</v>
      </c>
      <c r="G27" s="2811">
        <f>SUM(G19:G26)</f>
        <v>1036.48</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0</v>
      </c>
      <c r="S27" s="2489">
        <f>IF(SUM(S19:S26)=$E$3,SUM(S19:S26),SUM(S19:S26)&amp;"误差"&amp;ROUND(SUM(S19:S26)-E3,2))</f>
        <v>3441.66</v>
      </c>
    </row>
    <row r="28" spans="1:19" ht="14.25">
      <c r="A28" s="33"/>
      <c r="B28" s="26" t="s">
        <v>636</v>
      </c>
      <c r="C28" s="5" t="s">
        <v>637</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636</v>
      </c>
      <c r="C29" s="13" t="s">
        <v>2393</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635</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638</v>
      </c>
      <c r="D31" s="1189">
        <f>D27+D30</f>
        <v>0</v>
      </c>
      <c r="E31" s="1189">
        <f>E27+E30</f>
        <v>3441.66</v>
      </c>
      <c r="F31" s="1190">
        <f>F27+F30</f>
        <v>2405.1799999999998</v>
      </c>
      <c r="G31" s="1191">
        <f>G27+G30</f>
        <v>1036.48</v>
      </c>
      <c r="H31" s="2227"/>
      <c r="I31" s="2227"/>
      <c r="J31" s="2227"/>
      <c r="K31" s="2227"/>
      <c r="L31" s="2227"/>
      <c r="M31" s="2227"/>
      <c r="N31" s="2227"/>
      <c r="O31" s="2227"/>
      <c r="P31" s="2227"/>
    </row>
    <row r="32" spans="1:19" ht="14.25">
      <c r="A32" s="1182"/>
      <c r="B32" s="1182" t="s">
        <v>2704</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3" width="7.25" style="1194" customWidth="1"/>
    <col min="34" max="34" width="8.87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669</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670</v>
      </c>
      <c r="B2" s="2518">
        <f>项目基本情况!D3</f>
        <v>42997</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671</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40.5">
      <c r="A5" s="47" t="s">
        <v>2395</v>
      </c>
      <c r="B5" s="48" t="s">
        <v>675</v>
      </c>
      <c r="C5" s="49" t="s">
        <v>676</v>
      </c>
      <c r="D5" s="50" t="s">
        <v>677</v>
      </c>
      <c r="E5" s="51" t="s">
        <v>678</v>
      </c>
      <c r="F5" s="52" t="s">
        <v>679</v>
      </c>
      <c r="G5" s="51" t="s">
        <v>680</v>
      </c>
      <c r="H5" s="51" t="s">
        <v>681</v>
      </c>
      <c r="I5" s="51" t="s">
        <v>682</v>
      </c>
      <c r="J5" s="53" t="s">
        <v>683</v>
      </c>
      <c r="K5" s="54" t="s">
        <v>684</v>
      </c>
      <c r="L5" s="55" t="s">
        <v>685</v>
      </c>
      <c r="M5" s="56" t="s">
        <v>686</v>
      </c>
      <c r="N5" s="1202" t="s">
        <v>78</v>
      </c>
      <c r="O5" s="55" t="s">
        <v>687</v>
      </c>
      <c r="P5" s="57" t="s">
        <v>688</v>
      </c>
      <c r="Q5" s="58" t="s">
        <v>689</v>
      </c>
      <c r="R5" s="273" t="s">
        <v>690</v>
      </c>
      <c r="S5" s="59" t="s">
        <v>2685</v>
      </c>
      <c r="T5" s="274" t="s">
        <v>691</v>
      </c>
      <c r="U5" s="2519" t="s">
        <v>2401</v>
      </c>
      <c r="V5" s="51" t="s">
        <v>692</v>
      </c>
      <c r="W5" s="2520" t="s">
        <v>2402</v>
      </c>
      <c r="X5" s="62"/>
      <c r="Y5" s="60" t="s">
        <v>693</v>
      </c>
      <c r="Z5" s="61" t="s">
        <v>694</v>
      </c>
      <c r="AA5" s="51" t="s">
        <v>692</v>
      </c>
      <c r="AB5" s="2520" t="s">
        <v>2402</v>
      </c>
      <c r="AC5" s="62"/>
      <c r="AD5" s="62" t="s">
        <v>693</v>
      </c>
      <c r="AE5" s="14" t="s">
        <v>536</v>
      </c>
      <c r="AF5" s="51" t="s">
        <v>695</v>
      </c>
      <c r="AG5" s="60" t="s">
        <v>696</v>
      </c>
      <c r="AH5" s="14" t="s">
        <v>2406</v>
      </c>
      <c r="AI5" s="61" t="s">
        <v>2323</v>
      </c>
      <c r="AJ5" s="61" t="s">
        <v>697</v>
      </c>
      <c r="AK5" s="2520" t="s">
        <v>2403</v>
      </c>
      <c r="AL5" s="2520" t="s">
        <v>2404</v>
      </c>
      <c r="AM5" s="360" t="s">
        <v>2405</v>
      </c>
      <c r="AN5" s="2577" t="s">
        <v>2445</v>
      </c>
      <c r="AO5" s="2014" t="s">
        <v>2676</v>
      </c>
      <c r="AP5" s="2893" t="s">
        <v>2686</v>
      </c>
      <c r="AQ5" s="2894" t="s">
        <v>2795</v>
      </c>
      <c r="AR5" s="2894" t="s">
        <v>2796</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商业已出租</v>
      </c>
      <c r="B6" s="2495" t="str">
        <f>IF(A6=0,"","经营性")</f>
        <v>经营性</v>
      </c>
      <c r="C6" s="39" t="s">
        <v>3042</v>
      </c>
      <c r="D6" s="2058">
        <f>SUMIF(项目基本情况!D$12:I$12,C6,项目基本情况!D$14:I$14)</f>
        <v>40</v>
      </c>
      <c r="E6" s="2052">
        <f>IF(B6="","",SUMIF(项目基本情况!D$12:I$12,C6,项目基本情况!D$13:I$13))</f>
        <v>51762</v>
      </c>
      <c r="F6" s="362">
        <f>SUMIF(项目基本情况!D$12:I$12,C6,项目基本情况!D$15:I$15)</f>
        <v>24.01</v>
      </c>
      <c r="G6" s="363">
        <f>IF(ISERROR(ROUND(POWER(1+H6,D6-F6)*(POWER(1+H6,F6)-1)/(POWER(1+H6,D6)-1),3)),0,ROUND(POWER(1+H6,D6-F6)*(POWER(1+H6,F6)-1)/(POWER(1+H6,D6)-1),3))</f>
        <v>0.78800000000000003</v>
      </c>
      <c r="H6" s="1476">
        <v>4.4999999999999998E-2</v>
      </c>
      <c r="I6" s="1476">
        <v>5.5E-2</v>
      </c>
      <c r="J6" s="364">
        <v>8.5000000000000006E-2</v>
      </c>
      <c r="K6" s="2498">
        <f>SUMIF('数据-汇总表'!C$19:C$33,A6,'数据-汇总表'!E$19:E$33)</f>
        <v>3045.67</v>
      </c>
      <c r="L6" s="1477">
        <v>2800</v>
      </c>
      <c r="M6" s="365">
        <f t="shared" ref="M6:M14" si="0">ROUND(K6*L6/10000,0)</f>
        <v>853</v>
      </c>
      <c r="N6" s="1475">
        <v>0.77</v>
      </c>
      <c r="O6" s="365" t="str">
        <f>IF($N$5="成新度","——",ROUND(M6*N6,0))</f>
        <v>——</v>
      </c>
      <c r="P6" s="366" t="str">
        <f>IF($N$5="成新度","——",M6-O6)</f>
        <v>——</v>
      </c>
      <c r="Q6" s="1478">
        <v>0.2</v>
      </c>
      <c r="R6" s="367">
        <f ca="1">SUMIF('数据-汇总表'!C$19:C$33,A6,'数据-汇总表'!R$19:R$27)</f>
        <v>0</v>
      </c>
      <c r="S6" s="343">
        <f>IF('数据-汇总表'!$I$17="按面积比例",SUMIF('数据-汇总表'!C$19:C$33,A6,'数据-汇总表'!K$19:K$33),SUMIF('数据-汇总表'!C$19:C$33,A6,'数据-汇总表'!N$19:N$33))</f>
        <v>0</v>
      </c>
      <c r="T6" s="2892">
        <f>ROUND($L$14*S6/10000,0)</f>
        <v>0</v>
      </c>
      <c r="U6" s="368">
        <f>租金!C9+租金!E9</f>
        <v>6.52</v>
      </c>
      <c r="V6" s="369">
        <v>0</v>
      </c>
      <c r="W6" s="369">
        <v>0</v>
      </c>
      <c r="X6" s="2508"/>
      <c r="Y6" s="370">
        <f>N6</f>
        <v>0.77</v>
      </c>
      <c r="Z6" s="371">
        <f>ROUND(U7*(1+AA6)^AF6,2)</f>
        <v>9.24</v>
      </c>
      <c r="AA6" s="364">
        <v>0.04</v>
      </c>
      <c r="AB6" s="364">
        <v>0.1</v>
      </c>
      <c r="AC6" s="2508"/>
      <c r="AD6" s="372">
        <v>0.67</v>
      </c>
      <c r="AE6" s="2509">
        <f ca="1">IF(AN6="",0,SUMIF(INDIRECT("'"&amp;AN6&amp;"'"&amp;"!E:E"),$AE$5,INDIRECT("'"&amp;AN6&amp;"'"&amp;"!F:F")))</f>
        <v>24.01</v>
      </c>
      <c r="AF6" s="3377">
        <v>5.53</v>
      </c>
      <c r="AG6" s="478">
        <f ca="1">IF(AF6="",0,AE6-AF6)</f>
        <v>18.48</v>
      </c>
      <c r="AH6" s="373">
        <v>3045.67</v>
      </c>
      <c r="AI6" s="375">
        <v>365</v>
      </c>
      <c r="AJ6" s="376"/>
      <c r="AK6" s="377">
        <v>1.4999999999999999E-2</v>
      </c>
      <c r="AL6" s="378">
        <v>1.5E-3</v>
      </c>
      <c r="AM6" s="379">
        <v>0.01</v>
      </c>
      <c r="AN6" s="2578" t="s">
        <v>3126</v>
      </c>
      <c r="AO6" s="344">
        <f ca="1">SUMIF(INDIRECT("'"&amp;AN6&amp;"'"&amp;"!A:A"),"总价",INDIRECT("'"&amp;AN6&amp;"'"&amp;"!B:B"))</f>
        <v>11881</v>
      </c>
      <c r="AP6" s="2895">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商业未出租</v>
      </c>
      <c r="B7" s="2495" t="str">
        <f t="shared" ref="B7:B13" si="1">IF(A7=0,"","经营性")</f>
        <v>经营性</v>
      </c>
      <c r="C7" s="39" t="s">
        <v>3042</v>
      </c>
      <c r="D7" s="2058">
        <f>SUMIF(项目基本情况!D$12:I$12,C7,项目基本情况!D$14:I$14)</f>
        <v>40</v>
      </c>
      <c r="E7" s="2052">
        <f>IF(B7="","",SUMIF(项目基本情况!D$12:I$12,C7,项目基本情况!D$13:I$13))</f>
        <v>51762</v>
      </c>
      <c r="F7" s="362">
        <f>SUMIF(项目基本情况!D$12:I$12,C7,项目基本情况!D$15:I$15)</f>
        <v>24.01</v>
      </c>
      <c r="G7" s="363">
        <f>IF(ISERROR(ROUND(POWER(1+H7,D7-F7)*(POWER(1+H7,F7)-1)/(POWER(1+H7,D7)-1),3)),0,ROUND(POWER(1+H7,D7-F7)*(POWER(1+H7,F7)-1)/(POWER(1+H7,D7)-1),3))</f>
        <v>0.78800000000000003</v>
      </c>
      <c r="H7" s="1476">
        <v>4.4999999999999998E-2</v>
      </c>
      <c r="I7" s="1476">
        <v>5.5E-2</v>
      </c>
      <c r="J7" s="364">
        <v>8.5000000000000006E-2</v>
      </c>
      <c r="K7" s="2498">
        <f>SUMIF('数据-汇总表'!C$19:C$33,A7,'数据-汇总表'!E$19:E$33)</f>
        <v>395.99</v>
      </c>
      <c r="L7" s="1477">
        <v>2800</v>
      </c>
      <c r="M7" s="365">
        <f t="shared" si="0"/>
        <v>111</v>
      </c>
      <c r="N7" s="1475">
        <v>0.67</v>
      </c>
      <c r="O7" s="365" t="str">
        <f t="shared" ref="O7:O14" si="2">IF($N$5="成新度","——",ROUND(M7*N7,0))</f>
        <v>——</v>
      </c>
      <c r="P7" s="366" t="str">
        <f t="shared" ref="P7:P14" si="3">IF($N$5="成新度","——",M7-O7)</f>
        <v>——</v>
      </c>
      <c r="Q7" s="1478">
        <v>0.2</v>
      </c>
      <c r="R7" s="367">
        <f ca="1">SUMIF('数据-汇总表'!C$19:C$33,A7,'数据-汇总表'!R$19:R$27)</f>
        <v>0</v>
      </c>
      <c r="S7" s="343">
        <f>IF('数据-汇总表'!$I$17="按面积比例",SUMIF('数据-汇总表'!C$19:C$33,A7,'数据-汇总表'!K$19:K$33),SUMIF('数据-汇总表'!C$19:C$33,A7,'数据-汇总表'!N$19:N$33))</f>
        <v>0</v>
      </c>
      <c r="T7" s="2892">
        <f t="shared" ref="T7:T13" si="4">ROUND($L$14*S7/10000,0)</f>
        <v>0</v>
      </c>
      <c r="U7" s="368">
        <f>楼层修正!C5</f>
        <v>7.44</v>
      </c>
      <c r="V7" s="369">
        <v>0.04</v>
      </c>
      <c r="W7" s="369">
        <v>0.1</v>
      </c>
      <c r="X7" s="2508"/>
      <c r="Y7" s="370">
        <v>0.77</v>
      </c>
      <c r="Z7" s="371"/>
      <c r="AA7" s="364"/>
      <c r="AB7" s="364"/>
      <c r="AC7" s="2508"/>
      <c r="AD7" s="372">
        <v>0.77</v>
      </c>
      <c r="AE7" s="2509">
        <f t="shared" ref="AE7:AE13" ca="1" si="5">IF(AN7="",0,SUMIF(INDIRECT("'"&amp;AN7&amp;"'"&amp;"!E:E"),$AE$5,INDIRECT("'"&amp;AN7&amp;"'"&amp;"!F:F")))</f>
        <v>24.01</v>
      </c>
      <c r="AF7" s="352"/>
      <c r="AG7" s="478">
        <f t="shared" ref="AG7:AG13" si="6">IF(AF7="",0,AE7-AF7)</f>
        <v>0</v>
      </c>
      <c r="AH7" s="373">
        <f>3441.66-AH6</f>
        <v>395.98999999999978</v>
      </c>
      <c r="AI7" s="375">
        <v>365</v>
      </c>
      <c r="AJ7" s="376"/>
      <c r="AK7" s="377">
        <v>1.4999999999999999E-2</v>
      </c>
      <c r="AL7" s="378">
        <v>1.5E-3</v>
      </c>
      <c r="AM7" s="379">
        <v>0.01</v>
      </c>
      <c r="AN7" s="2578" t="s">
        <v>3128</v>
      </c>
      <c r="AO7" s="344">
        <f t="shared" ref="AO7:AO13" ca="1" si="7">SUMIF(INDIRECT("'"&amp;AN7&amp;"'"&amp;"!A:A"),"总价",INDIRECT("'"&amp;AN7&amp;"'"&amp;"!B:B"))</f>
        <v>1591</v>
      </c>
      <c r="AP7" s="2895">
        <f t="shared" ref="AP7:AP13" si="8">IF(C7="住宅",K7*L7,0)</f>
        <v>0</v>
      </c>
      <c r="AQ7" s="344">
        <f t="shared" ref="AQ7:AQ13" si="9">ROUND($L$14*$N$14*S7/10000,0)</f>
        <v>0</v>
      </c>
      <c r="AR7" s="344">
        <f t="shared" ref="AR7:AR13" si="10">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t="s">
        <v>3042</v>
      </c>
      <c r="D8" s="2058">
        <f>SUMIF(项目基本情况!D$12:I$12,C8,项目基本情况!D$14:I$14)</f>
        <v>40</v>
      </c>
      <c r="E8" s="2052" t="str">
        <f>IF(B8="","",SUMIF(项目基本情况!D$12:I$12,C8,项目基本情况!D$13:I$13))</f>
        <v/>
      </c>
      <c r="F8" s="362">
        <f>SUMIF(项目基本情况!D$12:I$12,C8,项目基本情况!D$15:I$15)</f>
        <v>24.01</v>
      </c>
      <c r="G8" s="363">
        <f t="shared" ref="G8:G11" si="11">IF(ISERROR(ROUND(POWER(1+H8,D8-F8)*(POWER(1+H8,F8)-1)/(POWER(1+H8,D8)-1),3)),0,ROUND(POWER(1+H8,D8-F8)*(POWER(1+H8,F8)-1)/(POWER(1+H8,D8)-1),3))</f>
        <v>0</v>
      </c>
      <c r="H8" s="1476"/>
      <c r="I8" s="1476"/>
      <c r="J8" s="364"/>
      <c r="K8" s="2498">
        <f>SUMIF('数据-汇总表'!C$19:C$33,A8,'数据-汇总表'!E$19:E$33)</f>
        <v>0</v>
      </c>
      <c r="L8" s="1477"/>
      <c r="M8" s="365">
        <f>ROUND(K8*L8/10000,0)</f>
        <v>0</v>
      </c>
      <c r="N8" s="1475"/>
      <c r="O8" s="365" t="str">
        <f t="shared" si="2"/>
        <v>——</v>
      </c>
      <c r="P8" s="366" t="str">
        <f t="shared" si="3"/>
        <v>——</v>
      </c>
      <c r="Q8" s="1478"/>
      <c r="R8" s="367">
        <f ca="1">SUMIF('数据-汇总表'!C$19:C$33,A8,'数据-汇总表'!R$19:R$27)</f>
        <v>0</v>
      </c>
      <c r="S8" s="343">
        <f>IF('数据-汇总表'!$I$17="按面积比例",SUMIF('数据-汇总表'!C$19:C$33,A8,'数据-汇总表'!K$19:K$33),SUMIF('数据-汇总表'!C$19:C$33,A8,'数据-汇总表'!N$19:N$33))</f>
        <v>0</v>
      </c>
      <c r="T8" s="2892">
        <f t="shared" si="4"/>
        <v>0</v>
      </c>
      <c r="U8" s="1479"/>
      <c r="V8" s="1480"/>
      <c r="W8" s="1480"/>
      <c r="X8" s="2508"/>
      <c r="Y8" s="1481"/>
      <c r="Z8" s="371"/>
      <c r="AA8" s="364"/>
      <c r="AB8" s="364"/>
      <c r="AC8" s="2508"/>
      <c r="AD8" s="372"/>
      <c r="AE8" s="2509">
        <f t="shared" ca="1" si="5"/>
        <v>0</v>
      </c>
      <c r="AF8" s="352"/>
      <c r="AG8" s="478">
        <f t="shared" si="6"/>
        <v>0</v>
      </c>
      <c r="AH8" s="1482"/>
      <c r="AI8" s="375"/>
      <c r="AJ8" s="376"/>
      <c r="AK8" s="1483"/>
      <c r="AL8" s="1484"/>
      <c r="AM8" s="1485"/>
      <c r="AN8" s="2578"/>
      <c r="AO8" s="344" t="e">
        <f t="shared" ca="1" si="7"/>
        <v>#REF!</v>
      </c>
      <c r="AP8" s="2895">
        <f t="shared" si="8"/>
        <v>0</v>
      </c>
      <c r="AQ8" s="344">
        <f t="shared" si="9"/>
        <v>0</v>
      </c>
      <c r="AR8" s="344">
        <f t="shared" si="10"/>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11"/>
        <v>0</v>
      </c>
      <c r="H9" s="364"/>
      <c r="I9" s="364"/>
      <c r="J9" s="364"/>
      <c r="K9" s="2498">
        <f>SUMIF('数据-汇总表'!C$19:C$33,A9,'数据-汇总表'!E$19:E$33)</f>
        <v>0</v>
      </c>
      <c r="L9" s="1477"/>
      <c r="M9" s="365">
        <f t="shared" si="0"/>
        <v>0</v>
      </c>
      <c r="N9" s="1475"/>
      <c r="O9" s="365" t="str">
        <f t="shared" si="2"/>
        <v>——</v>
      </c>
      <c r="P9" s="366" t="str">
        <f t="shared" si="3"/>
        <v>——</v>
      </c>
      <c r="Q9" s="380"/>
      <c r="R9" s="367">
        <f ca="1">SUMIF('数据-汇总表'!C$19:C$33,A9,'数据-汇总表'!R$19:R$27)</f>
        <v>0</v>
      </c>
      <c r="S9" s="343">
        <f>IF('数据-汇总表'!$I$17="按面积比例",SUMIF('数据-汇总表'!C$19:C$33,A9,'数据-汇总表'!K$19:K$33),SUMIF('数据-汇总表'!C$19:C$33,A9,'数据-汇总表'!N$19:N$33))</f>
        <v>0</v>
      </c>
      <c r="T9" s="2892">
        <f t="shared" si="4"/>
        <v>0</v>
      </c>
      <c r="U9" s="368"/>
      <c r="V9" s="369"/>
      <c r="W9" s="369"/>
      <c r="X9" s="2508"/>
      <c r="Y9" s="370"/>
      <c r="Z9" s="371"/>
      <c r="AA9" s="364"/>
      <c r="AB9" s="364"/>
      <c r="AC9" s="2508"/>
      <c r="AD9" s="372"/>
      <c r="AE9" s="2509">
        <f t="shared" ca="1" si="5"/>
        <v>0</v>
      </c>
      <c r="AF9" s="352"/>
      <c r="AG9" s="478">
        <f t="shared" si="6"/>
        <v>0</v>
      </c>
      <c r="AH9" s="373"/>
      <c r="AI9" s="375"/>
      <c r="AJ9" s="376"/>
      <c r="AK9" s="377"/>
      <c r="AL9" s="378"/>
      <c r="AM9" s="379"/>
      <c r="AN9" s="2578"/>
      <c r="AO9" s="344" t="e">
        <f t="shared" ca="1" si="7"/>
        <v>#REF!</v>
      </c>
      <c r="AP9" s="2895">
        <f t="shared" si="8"/>
        <v>0</v>
      </c>
      <c r="AQ9" s="344">
        <f t="shared" si="9"/>
        <v>0</v>
      </c>
      <c r="AR9" s="344">
        <f t="shared" si="10"/>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11"/>
        <v>0</v>
      </c>
      <c r="H10" s="364"/>
      <c r="I10" s="364"/>
      <c r="J10" s="364"/>
      <c r="K10" s="2498">
        <f>SUMIF('数据-汇总表'!C$19:C$33,A10,'数据-汇总表'!E$19:E$33)</f>
        <v>0</v>
      </c>
      <c r="L10" s="1477"/>
      <c r="M10" s="365">
        <f t="shared" si="0"/>
        <v>0</v>
      </c>
      <c r="N10" s="1475"/>
      <c r="O10" s="365" t="str">
        <f t="shared" si="2"/>
        <v>——</v>
      </c>
      <c r="P10" s="366" t="str">
        <f t="shared" si="3"/>
        <v>——</v>
      </c>
      <c r="Q10" s="380"/>
      <c r="R10" s="367">
        <f ca="1">SUMIF('数据-汇总表'!C$19:C$33,A10,'数据-汇总表'!R$19:R$27)</f>
        <v>0</v>
      </c>
      <c r="S10" s="343">
        <f>IF('数据-汇总表'!$I$17="按面积比例",SUMIF('数据-汇总表'!C$19:C$33,A10,'数据-汇总表'!K$19:K$33),SUMIF('数据-汇总表'!C$19:C$33,A10,'数据-汇总表'!N$19:N$33))</f>
        <v>0</v>
      </c>
      <c r="T10" s="2892">
        <f t="shared" si="4"/>
        <v>0</v>
      </c>
      <c r="U10" s="368"/>
      <c r="V10" s="369"/>
      <c r="W10" s="369"/>
      <c r="X10" s="2508"/>
      <c r="Y10" s="370"/>
      <c r="Z10" s="371"/>
      <c r="AA10" s="364"/>
      <c r="AB10" s="364"/>
      <c r="AC10" s="2508"/>
      <c r="AD10" s="372"/>
      <c r="AE10" s="2509">
        <f t="shared" ca="1" si="5"/>
        <v>0</v>
      </c>
      <c r="AF10" s="352"/>
      <c r="AG10" s="478">
        <f t="shared" si="6"/>
        <v>0</v>
      </c>
      <c r="AH10" s="373"/>
      <c r="AI10" s="375"/>
      <c r="AJ10" s="376"/>
      <c r="AK10" s="377"/>
      <c r="AL10" s="378"/>
      <c r="AM10" s="379"/>
      <c r="AN10" s="2578"/>
      <c r="AO10" s="344" t="e">
        <f t="shared" ca="1" si="7"/>
        <v>#REF!</v>
      </c>
      <c r="AP10" s="2895">
        <f t="shared" si="8"/>
        <v>0</v>
      </c>
      <c r="AQ10" s="344">
        <f t="shared" si="9"/>
        <v>0</v>
      </c>
      <c r="AR10" s="344">
        <f t="shared" si="10"/>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11"/>
        <v>0</v>
      </c>
      <c r="H11" s="364"/>
      <c r="I11" s="364"/>
      <c r="J11" s="364"/>
      <c r="K11" s="2498">
        <f>SUMIF('数据-汇总表'!C$19:C$33,A11,'数据-汇总表'!E$19:E$33)</f>
        <v>0</v>
      </c>
      <c r="L11" s="381"/>
      <c r="M11" s="365">
        <f t="shared" si="0"/>
        <v>0</v>
      </c>
      <c r="N11" s="382"/>
      <c r="O11" s="365" t="str">
        <f t="shared" si="2"/>
        <v>——</v>
      </c>
      <c r="P11" s="366" t="str">
        <f t="shared" si="3"/>
        <v>——</v>
      </c>
      <c r="Q11" s="380"/>
      <c r="R11" s="367">
        <f ca="1">SUMIF('数据-汇总表'!C$19:C$33,A11,'数据-汇总表'!R$19:R$27)</f>
        <v>0</v>
      </c>
      <c r="S11" s="343">
        <f>IF('数据-汇总表'!$I$17="按面积比例",SUMIF('数据-汇总表'!C$19:C$33,A11,'数据-汇总表'!K$19:K$33),SUMIF('数据-汇总表'!C$19:C$33,A11,'数据-汇总表'!N$19:N$33))</f>
        <v>0</v>
      </c>
      <c r="T11" s="2892">
        <f t="shared" si="4"/>
        <v>0</v>
      </c>
      <c r="U11" s="373"/>
      <c r="V11" s="364"/>
      <c r="W11" s="364"/>
      <c r="X11" s="2508"/>
      <c r="Y11" s="370"/>
      <c r="Z11" s="383"/>
      <c r="AA11" s="364"/>
      <c r="AB11" s="364"/>
      <c r="AC11" s="2508"/>
      <c r="AD11" s="372"/>
      <c r="AE11" s="2509">
        <f t="shared" ca="1" si="5"/>
        <v>0</v>
      </c>
      <c r="AF11" s="352"/>
      <c r="AG11" s="478">
        <f t="shared" si="6"/>
        <v>0</v>
      </c>
      <c r="AH11" s="373"/>
      <c r="AI11" s="375"/>
      <c r="AJ11" s="376"/>
      <c r="AK11" s="384"/>
      <c r="AL11" s="385"/>
      <c r="AM11" s="386"/>
      <c r="AN11" s="2578"/>
      <c r="AO11" s="344" t="e">
        <f t="shared" ca="1" si="7"/>
        <v>#REF!</v>
      </c>
      <c r="AP11" s="2895">
        <f t="shared" si="8"/>
        <v>0</v>
      </c>
      <c r="AQ11" s="344">
        <f t="shared" si="9"/>
        <v>0</v>
      </c>
      <c r="AR11" s="344">
        <f t="shared" si="10"/>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2"/>
        <v>——</v>
      </c>
      <c r="P12" s="366" t="str">
        <f t="shared" si="3"/>
        <v>——</v>
      </c>
      <c r="Q12" s="380"/>
      <c r="R12" s="367">
        <f ca="1">SUMIF('数据-汇总表'!C$19:C$33,A12,'数据-汇总表'!R$19:R$27)</f>
        <v>0</v>
      </c>
      <c r="S12" s="343">
        <f>IF('数据-汇总表'!$I$17="按面积比例",SUMIF('数据-汇总表'!C$19:C$33,A12,'数据-汇总表'!K$19:K$33),SUMIF('数据-汇总表'!C$19:C$33,A12,'数据-汇总表'!N$19:N$33))</f>
        <v>0</v>
      </c>
      <c r="T12" s="2892">
        <f t="shared" si="4"/>
        <v>0</v>
      </c>
      <c r="U12" s="373"/>
      <c r="V12" s="364"/>
      <c r="W12" s="364"/>
      <c r="X12" s="2508"/>
      <c r="Y12" s="370"/>
      <c r="Z12" s="383"/>
      <c r="AA12" s="364"/>
      <c r="AB12" s="364"/>
      <c r="AC12" s="2508"/>
      <c r="AD12" s="372"/>
      <c r="AE12" s="2509">
        <f t="shared" ca="1" si="5"/>
        <v>0</v>
      </c>
      <c r="AF12" s="352"/>
      <c r="AG12" s="478">
        <f t="shared" si="6"/>
        <v>0</v>
      </c>
      <c r="AH12" s="373"/>
      <c r="AI12" s="375"/>
      <c r="AJ12" s="376"/>
      <c r="AK12" s="384"/>
      <c r="AL12" s="385"/>
      <c r="AM12" s="386"/>
      <c r="AN12" s="2578"/>
      <c r="AO12" s="344" t="e">
        <f t="shared" ca="1" si="7"/>
        <v>#REF!</v>
      </c>
      <c r="AP12" s="2895">
        <f t="shared" si="8"/>
        <v>0</v>
      </c>
      <c r="AQ12" s="344">
        <f t="shared" si="9"/>
        <v>0</v>
      </c>
      <c r="AR12" s="344">
        <f t="shared" si="10"/>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2"/>
        <v>——</v>
      </c>
      <c r="P13" s="366" t="str">
        <f t="shared" si="3"/>
        <v>——</v>
      </c>
      <c r="Q13" s="380"/>
      <c r="R13" s="367">
        <f ca="1">SUMIF('数据-汇总表'!C$19:C$33,A13,'数据-汇总表'!R$19:R$27)</f>
        <v>0</v>
      </c>
      <c r="S13" s="343">
        <f>IF('数据-汇总表'!$I$17="按面积比例",SUMIF('数据-汇总表'!C$19:C$33,A13,'数据-汇总表'!K$19:K$33),SUMIF('数据-汇总表'!C$19:C$33,A13,'数据-汇总表'!N$19:N$33))</f>
        <v>0</v>
      </c>
      <c r="T13" s="2892">
        <f t="shared" si="4"/>
        <v>0</v>
      </c>
      <c r="U13" s="368"/>
      <c r="V13" s="369"/>
      <c r="W13" s="369"/>
      <c r="X13" s="2508"/>
      <c r="Y13" s="370"/>
      <c r="Z13" s="371"/>
      <c r="AA13" s="364"/>
      <c r="AB13" s="364"/>
      <c r="AC13" s="2508"/>
      <c r="AD13" s="372"/>
      <c r="AE13" s="2509">
        <f t="shared" ca="1" si="5"/>
        <v>0</v>
      </c>
      <c r="AF13" s="352"/>
      <c r="AG13" s="478">
        <f t="shared" si="6"/>
        <v>0</v>
      </c>
      <c r="AH13" s="373"/>
      <c r="AI13" s="375"/>
      <c r="AJ13" s="376"/>
      <c r="AK13" s="377"/>
      <c r="AL13" s="378"/>
      <c r="AM13" s="379"/>
      <c r="AN13" s="2578"/>
      <c r="AO13" s="344" t="e">
        <f t="shared" ca="1" si="7"/>
        <v>#REF!</v>
      </c>
      <c r="AP13" s="2895">
        <f t="shared" si="8"/>
        <v>0</v>
      </c>
      <c r="AQ13" s="344">
        <f t="shared" si="9"/>
        <v>0</v>
      </c>
      <c r="AR13" s="344">
        <f t="shared" si="10"/>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533</v>
      </c>
      <c r="B14" s="2495" t="s">
        <v>532</v>
      </c>
      <c r="C14" s="2496" t="s">
        <v>533</v>
      </c>
      <c r="D14" s="2058"/>
      <c r="E14" s="2052"/>
      <c r="F14" s="362"/>
      <c r="G14" s="363"/>
      <c r="H14" s="2497"/>
      <c r="I14" s="2497"/>
      <c r="J14" s="2497"/>
      <c r="K14" s="2498">
        <f>SUMIF('数据-汇总表'!C$19:C$33,A14,'数据-汇总表'!E$19:E$33)</f>
        <v>0</v>
      </c>
      <c r="L14" s="381"/>
      <c r="M14" s="365">
        <f t="shared" si="0"/>
        <v>0</v>
      </c>
      <c r="N14" s="382"/>
      <c r="O14" s="365" t="str">
        <f t="shared" si="2"/>
        <v>——</v>
      </c>
      <c r="P14" s="366" t="str">
        <f t="shared" si="3"/>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2394</v>
      </c>
      <c r="B15" s="2495" t="s">
        <v>532</v>
      </c>
      <c r="C15" s="2496" t="s">
        <v>2098</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0.78800000000000003</v>
      </c>
      <c r="H16" s="389">
        <f>ROUND(SUMPRODUCT(H6:H13,K6:K13)/SUMPRODUCT((H6:H13&gt;0)*(K6:K13)),3)</f>
        <v>4.4999999999999998E-2</v>
      </c>
      <c r="I16" s="390"/>
      <c r="J16" s="390"/>
      <c r="K16" s="391">
        <f>SUM(K6:K15)</f>
        <v>3441.66</v>
      </c>
      <c r="L16" s="392">
        <f>ROUND(M16*10000/SUM(K6:K14),0)</f>
        <v>2801</v>
      </c>
      <c r="M16" s="392">
        <f>SUM(M6:M14)</f>
        <v>964</v>
      </c>
      <c r="N16" s="393">
        <f>ROUND(SUMPRODUCT(M6:M14,N6:N14)/M16,3)</f>
        <v>0.75800000000000001</v>
      </c>
      <c r="O16" s="392">
        <f>SUM(O6:O14)</f>
        <v>0</v>
      </c>
      <c r="P16" s="392">
        <f>SUM(P6:P14)</f>
        <v>0</v>
      </c>
      <c r="Q16" s="394">
        <f>ROUND(SUMPRODUCT(Q6:Q13,K6:K13)/SUMPRODUCT((Q6:Q13&gt;0)*(K6:K13)),2)</f>
        <v>0.2</v>
      </c>
      <c r="R16" s="2502">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2410</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698</v>
      </c>
      <c r="B20" s="403">
        <v>2</v>
      </c>
      <c r="C20" s="2234" t="s">
        <v>2411</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699</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700</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701</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702</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703</v>
      </c>
      <c r="B26" s="72" t="s">
        <v>704</v>
      </c>
      <c r="C26" s="2237" t="s">
        <v>705</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706</v>
      </c>
      <c r="B27" s="406"/>
      <c r="C27" s="2530" t="s">
        <v>707</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708</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2688</v>
      </c>
      <c r="B29" s="411">
        <v>200</v>
      </c>
      <c r="C29" s="2530" t="s">
        <v>2689</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709</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710</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711</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712</v>
      </c>
      <c r="B33" s="1136">
        <v>0.03</v>
      </c>
      <c r="C33" s="3291" t="s">
        <v>2999</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713</v>
      </c>
      <c r="B34" s="412">
        <v>0.05</v>
      </c>
      <c r="C34" s="3291" t="s">
        <v>3000</v>
      </c>
      <c r="D34" s="2235" t="s">
        <v>714</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715</v>
      </c>
      <c r="B35" s="409">
        <v>200</v>
      </c>
      <c r="C35" s="3291" t="s">
        <v>3001</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716</v>
      </c>
      <c r="B36" s="413">
        <v>1.4999999999999999E-2</v>
      </c>
      <c r="C36" s="3291" t="s">
        <v>3002</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717</v>
      </c>
      <c r="B37" s="414">
        <v>0.02</v>
      </c>
      <c r="C37" s="3291" t="s">
        <v>3003</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718</v>
      </c>
      <c r="B38" s="412">
        <v>0.02</v>
      </c>
      <c r="C38" s="3291" t="s">
        <v>3003</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2539</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2615</v>
      </c>
      <c r="B40" s="2638">
        <f ca="1">存贷款利率!G1</f>
        <v>4.7500000000000001E-2</v>
      </c>
      <c r="C40" s="2532" t="s">
        <v>537</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719</v>
      </c>
      <c r="B41" s="415">
        <f>B42+B43</f>
        <v>5.3500000000000006E-2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720</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721</v>
      </c>
      <c r="B43" s="417">
        <f>B42*(B44+B45+B46)+B47</f>
        <v>3.5000000000000005E-3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722</v>
      </c>
      <c r="B44" s="418">
        <v>7.0000000000000007E-2</v>
      </c>
      <c r="C44" s="3291" t="s">
        <v>3005</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723</v>
      </c>
      <c r="B45" s="416"/>
      <c r="C45" s="3292" t="s">
        <v>3004</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724</v>
      </c>
      <c r="B46" s="416"/>
      <c r="C46" s="3292" t="s">
        <v>3032</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725</v>
      </c>
      <c r="B47" s="419"/>
      <c r="C47" s="2530" t="s">
        <v>726</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727</v>
      </c>
      <c r="B48" s="420"/>
      <c r="C48" s="3314" t="s">
        <v>3033</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728</v>
      </c>
      <c r="B49" s="416"/>
      <c r="C49" s="3314" t="s">
        <v>3034</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729</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730</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731</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732</v>
      </c>
      <c r="B53" s="41" t="s">
        <v>1139</v>
      </c>
      <c r="C53" s="2236" t="s">
        <v>3006</v>
      </c>
      <c r="D53" s="2239" t="s">
        <v>3010</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163</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164</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159</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160</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161</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162</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1179</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3007</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3008</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3009</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519" t="s">
        <v>749</v>
      </c>
      <c r="B1" s="3520"/>
      <c r="C1" s="3520"/>
      <c r="D1" s="3520"/>
      <c r="E1" s="3520"/>
      <c r="F1" s="3520"/>
      <c r="G1" s="3520"/>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750</v>
      </c>
      <c r="D2" s="1212"/>
      <c r="E2" s="1213"/>
      <c r="F2" s="1200"/>
      <c r="G2" s="1211" t="s">
        <v>751</v>
      </c>
      <c r="H2" s="2257"/>
      <c r="I2" s="2257"/>
      <c r="J2" s="2257"/>
      <c r="K2" s="2257"/>
      <c r="L2" s="2257"/>
      <c r="M2" s="2257"/>
      <c r="N2" s="2257"/>
      <c r="O2" s="2257"/>
      <c r="P2" s="2257"/>
      <c r="Q2" s="2257"/>
      <c r="R2" s="2257"/>
    </row>
    <row r="3" spans="1:29" ht="54">
      <c r="A3" s="1021" t="s">
        <v>752</v>
      </c>
      <c r="B3" s="51" t="s">
        <v>52</v>
      </c>
      <c r="C3" s="3293" t="s">
        <v>753</v>
      </c>
      <c r="D3" s="2258"/>
      <c r="E3" s="1030" t="s">
        <v>752</v>
      </c>
      <c r="F3" s="1214" t="s">
        <v>97</v>
      </c>
      <c r="G3" s="3297" t="s">
        <v>3012</v>
      </c>
      <c r="H3" s="2257"/>
      <c r="I3" s="2257"/>
      <c r="J3" s="2257"/>
      <c r="K3" s="2257"/>
      <c r="L3" s="2257"/>
      <c r="M3" s="2257"/>
      <c r="N3" s="2257"/>
      <c r="O3" s="2257"/>
      <c r="P3" s="2257"/>
      <c r="Q3" s="2257"/>
      <c r="R3" s="2257"/>
    </row>
    <row r="4" spans="1:29" ht="40.5">
      <c r="A4" s="1030"/>
      <c r="B4" s="2213" t="s">
        <v>754</v>
      </c>
      <c r="C4" s="3294" t="s">
        <v>755</v>
      </c>
      <c r="D4" s="2258"/>
      <c r="E4" s="1215"/>
      <c r="F4" s="2217" t="s">
        <v>756</v>
      </c>
      <c r="G4" s="3295" t="s">
        <v>757</v>
      </c>
      <c r="H4" s="2257"/>
      <c r="I4" s="2257"/>
      <c r="J4" s="2257"/>
      <c r="K4" s="2257"/>
      <c r="L4" s="2257"/>
      <c r="M4" s="2257"/>
      <c r="N4" s="2257"/>
      <c r="O4" s="2257"/>
      <c r="P4" s="2257"/>
      <c r="Q4" s="2257"/>
      <c r="R4" s="2257"/>
    </row>
    <row r="5" spans="1:29" ht="40.5">
      <c r="A5" s="1030"/>
      <c r="B5" s="2213" t="s">
        <v>758</v>
      </c>
      <c r="C5" s="3294" t="s">
        <v>759</v>
      </c>
      <c r="D5" s="2258"/>
      <c r="E5" s="1215"/>
      <c r="F5" s="2746" t="s">
        <v>2631</v>
      </c>
      <c r="G5" s="3295" t="s">
        <v>2633</v>
      </c>
      <c r="H5" s="2257"/>
      <c r="I5" s="2257"/>
      <c r="J5" s="2257"/>
      <c r="K5" s="2257"/>
      <c r="L5" s="2257"/>
      <c r="M5" s="2257"/>
      <c r="N5" s="2257"/>
      <c r="O5" s="2257"/>
      <c r="P5" s="2257"/>
      <c r="Q5" s="2257"/>
      <c r="R5" s="2257"/>
    </row>
    <row r="6" spans="1:29" ht="54">
      <c r="A6" s="1030"/>
      <c r="B6" s="2213" t="s">
        <v>70</v>
      </c>
      <c r="C6" s="3295" t="s">
        <v>733</v>
      </c>
      <c r="D6" s="2258"/>
      <c r="E6" s="1215"/>
      <c r="F6" s="2746" t="s">
        <v>2630</v>
      </c>
      <c r="G6" s="3295" t="s">
        <v>2632</v>
      </c>
      <c r="H6" s="2257"/>
      <c r="I6" s="2257"/>
      <c r="J6" s="2257"/>
      <c r="K6" s="2257"/>
      <c r="L6" s="2257"/>
      <c r="M6" s="2257"/>
      <c r="N6" s="2257"/>
      <c r="O6" s="2257"/>
      <c r="P6" s="2257"/>
      <c r="Q6" s="2257"/>
      <c r="R6" s="2257"/>
    </row>
    <row r="7" spans="1:29" ht="41.25" thickBot="1">
      <c r="A7" s="1030"/>
      <c r="B7" s="2213" t="s">
        <v>2631</v>
      </c>
      <c r="C7" s="3295" t="s">
        <v>2633</v>
      </c>
      <c r="D7" s="2259"/>
      <c r="E7" s="1216"/>
      <c r="F7" s="1217" t="s">
        <v>734</v>
      </c>
      <c r="G7" s="3298" t="s">
        <v>3013</v>
      </c>
      <c r="H7" s="2257"/>
      <c r="I7" s="2257"/>
      <c r="J7" s="2257"/>
      <c r="K7" s="2257"/>
      <c r="L7" s="2257"/>
      <c r="M7" s="2257"/>
      <c r="N7" s="2257"/>
      <c r="O7" s="2257"/>
      <c r="P7" s="2257"/>
      <c r="Q7" s="2257"/>
      <c r="R7" s="2257"/>
    </row>
    <row r="8" spans="1:29" ht="27">
      <c r="A8" s="1030"/>
      <c r="B8" s="2746" t="s">
        <v>2630</v>
      </c>
      <c r="C8" s="3295" t="s">
        <v>2632</v>
      </c>
      <c r="D8" s="2259"/>
      <c r="E8" s="2259"/>
      <c r="F8" s="2260"/>
      <c r="G8" s="2260"/>
      <c r="H8" s="2257"/>
      <c r="I8" s="2257"/>
      <c r="J8" s="2257"/>
      <c r="K8" s="2257"/>
      <c r="L8" s="2257"/>
      <c r="M8" s="2257"/>
      <c r="N8" s="2257"/>
      <c r="O8" s="2257"/>
      <c r="P8" s="2257"/>
      <c r="Q8" s="2257"/>
      <c r="R8" s="2257"/>
    </row>
    <row r="9" spans="1:29" ht="40.5">
      <c r="A9" s="1030"/>
      <c r="B9" s="2213" t="s">
        <v>71</v>
      </c>
      <c r="C9" s="3294" t="s">
        <v>735</v>
      </c>
      <c r="D9" s="2258"/>
      <c r="E9" s="2259"/>
      <c r="F9" s="2260"/>
      <c r="G9" s="2260"/>
      <c r="H9" s="2257"/>
      <c r="I9" s="2257"/>
      <c r="J9" s="2257"/>
      <c r="K9" s="2257"/>
      <c r="L9" s="2257"/>
      <c r="M9" s="2257"/>
      <c r="N9" s="2257"/>
      <c r="O9" s="2257"/>
      <c r="P9" s="2257"/>
      <c r="Q9" s="2257"/>
      <c r="R9" s="2257"/>
    </row>
    <row r="10" spans="1:29" s="40" customFormat="1" ht="14.25" thickBot="1">
      <c r="A10" s="1219"/>
      <c r="B10" s="1220" t="s">
        <v>736</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737</v>
      </c>
      <c r="B13" s="2744"/>
      <c r="C13" s="2744"/>
      <c r="D13" s="2256"/>
      <c r="E13" s="2744"/>
      <c r="F13" s="2744"/>
      <c r="G13" s="2744"/>
    </row>
    <row r="14" spans="1:29" ht="14.25" thickBot="1">
      <c r="A14" s="1221"/>
      <c r="B14" s="1222"/>
      <c r="C14" s="1223" t="s">
        <v>738</v>
      </c>
      <c r="D14" s="2258"/>
      <c r="E14" s="1224"/>
      <c r="F14" s="1224"/>
      <c r="G14" s="1211" t="s">
        <v>739</v>
      </c>
    </row>
    <row r="15" spans="1:29" ht="54">
      <c r="A15" s="46" t="s">
        <v>740</v>
      </c>
      <c r="B15" s="14" t="s">
        <v>52</v>
      </c>
      <c r="C15" s="1225" t="str">
        <f>C3</f>
        <v>估价对象周边居住用地比例、居住小区规模和社区发展完善程度，综合评价居住社区成熟度一般</v>
      </c>
      <c r="D15" s="2258"/>
      <c r="E15" s="2759" t="s">
        <v>741</v>
      </c>
      <c r="F15" s="14" t="s">
        <v>742</v>
      </c>
      <c r="G15" s="1023" t="str">
        <f>G3</f>
        <v>估价对象位于XX开发区，园区建设成熟度XX，产业集聚程度XX</v>
      </c>
    </row>
    <row r="16" spans="1:29" ht="40.5">
      <c r="A16" s="2762"/>
      <c r="B16" s="1226" t="s">
        <v>743</v>
      </c>
      <c r="C16" s="1227" t="str">
        <f>C4</f>
        <v>估价对象位于XX商圈，周边商业氛围成熟，人流量大，商业繁华度好</v>
      </c>
      <c r="D16" s="2258"/>
      <c r="E16" s="2760"/>
      <c r="F16" s="1228" t="s">
        <v>744</v>
      </c>
      <c r="G16" s="1025" t="str">
        <f>G4</f>
        <v>估价对象周边道路状况、公共交通通达情况、停车便捷程度，综合评价交通便捷度较好</v>
      </c>
    </row>
    <row r="17" spans="1:18" ht="40.5">
      <c r="A17" s="2762"/>
      <c r="B17" s="1226" t="s">
        <v>745</v>
      </c>
      <c r="C17" s="1227" t="str">
        <f>C5</f>
        <v>估价对象位于XX商圈，周边办公楼项目较多，入驻率高，办公集聚程度较好</v>
      </c>
      <c r="D17" s="2259"/>
      <c r="E17" s="2760"/>
      <c r="F17" s="1228" t="s">
        <v>746</v>
      </c>
      <c r="G17" s="271"/>
    </row>
    <row r="18" spans="1:18" ht="54">
      <c r="A18" s="2762"/>
      <c r="B18" s="1228" t="s">
        <v>70</v>
      </c>
      <c r="C18" s="1025" t="str">
        <f>C6</f>
        <v>估价对象周边道路状况、公共交通通达情况、停车便捷程度，综合评价交通便捷度较好</v>
      </c>
      <c r="D18" s="2259"/>
      <c r="E18" s="2760"/>
      <c r="F18" s="1228" t="s">
        <v>734</v>
      </c>
      <c r="G18" s="1025" t="str">
        <f>G7</f>
        <v>该园区内是否有污染型企业，绿化情况，卫生条件，整体环境状况判断</v>
      </c>
    </row>
    <row r="19" spans="1:18" ht="27">
      <c r="A19" s="2762"/>
      <c r="B19" s="1228" t="s">
        <v>89</v>
      </c>
      <c r="C19" s="271"/>
      <c r="D19" s="2258"/>
      <c r="E19" s="2760"/>
      <c r="F19" s="2746" t="s">
        <v>2631</v>
      </c>
      <c r="G19" s="1025" t="str">
        <f>G5</f>
        <v>估价对象所在区域公共配套设施齐备情况</v>
      </c>
    </row>
    <row r="20" spans="1:18" ht="40.5">
      <c r="A20" s="2762"/>
      <c r="B20" s="1228" t="s">
        <v>88</v>
      </c>
      <c r="C20" s="1227" t="str">
        <f>C9</f>
        <v>区域自然环境：；人文环境；综合评价环境状况一般</v>
      </c>
      <c r="D20" s="2259"/>
      <c r="E20" s="2760"/>
      <c r="F20" s="2746" t="s">
        <v>2630</v>
      </c>
      <c r="G20" s="1025" t="str">
        <f>G6</f>
        <v>估价对象所在区域基础设施水平</v>
      </c>
    </row>
    <row r="21" spans="1:18" ht="27">
      <c r="A21" s="2762"/>
      <c r="B21" s="2746" t="s">
        <v>2631</v>
      </c>
      <c r="C21" s="1025" t="str">
        <f>C7</f>
        <v>估价对象所在区域公共配套设施齐备情况</v>
      </c>
      <c r="D21" s="2258"/>
      <c r="E21" s="2760"/>
      <c r="F21" s="1228" t="s">
        <v>87</v>
      </c>
      <c r="G21" s="283"/>
    </row>
    <row r="22" spans="1:18" ht="13.5" customHeight="1">
      <c r="A22" s="2762"/>
      <c r="B22" s="2746" t="s">
        <v>2630</v>
      </c>
      <c r="C22" s="1025" t="str">
        <f>C8</f>
        <v>估价对象所在区域基础设施水平</v>
      </c>
      <c r="D22" s="2258"/>
      <c r="E22" s="2760"/>
      <c r="F22" s="1228" t="s">
        <v>747</v>
      </c>
      <c r="G22" s="271"/>
    </row>
    <row r="23" spans="1:18" s="2257" customFormat="1" ht="14.25" thickBot="1">
      <c r="A23" s="2762"/>
      <c r="B23" s="1228" t="s">
        <v>87</v>
      </c>
      <c r="C23" s="283"/>
      <c r="D23" s="2270"/>
      <c r="E23" s="2761"/>
      <c r="F23" s="1229" t="s">
        <v>748</v>
      </c>
      <c r="G23" s="284"/>
      <c r="H23" s="2270"/>
      <c r="I23" s="2271"/>
      <c r="J23" s="2270"/>
      <c r="K23" s="2270"/>
      <c r="L23" s="2271"/>
      <c r="M23" s="2270"/>
      <c r="N23" s="2270"/>
      <c r="O23" s="2271"/>
      <c r="P23" s="2270"/>
      <c r="Q23" s="2270"/>
      <c r="R23" s="2272"/>
    </row>
    <row r="24" spans="1:18" s="2257" customFormat="1" ht="14.25" thickBot="1">
      <c r="A24" s="2763"/>
      <c r="B24" s="1229" t="s">
        <v>86</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2982</v>
      </c>
      <c r="B1" s="3257">
        <f>SUM(B14:B23)</f>
        <v>3441.66</v>
      </c>
      <c r="C1" s="3256"/>
      <c r="D1" s="3256"/>
      <c r="E1" s="3256"/>
      <c r="F1" s="3256"/>
      <c r="G1" s="3254"/>
    </row>
    <row r="2" spans="1:10" ht="16.5">
      <c r="A2" s="3257" t="s">
        <v>2970</v>
      </c>
      <c r="B2" s="3257">
        <f>SUM(C14:C23)</f>
        <v>0</v>
      </c>
      <c r="C2" s="3256"/>
      <c r="D2" s="3256"/>
      <c r="E2" s="3256"/>
      <c r="F2" s="3256"/>
      <c r="G2" s="3254"/>
    </row>
    <row r="3" spans="1:10" ht="16.5">
      <c r="A3" s="3257" t="s">
        <v>2979</v>
      </c>
      <c r="B3" s="3258">
        <f>项目基本情况!D3</f>
        <v>42997</v>
      </c>
      <c r="C3" s="3256"/>
      <c r="D3" s="3256"/>
      <c r="E3" s="3256"/>
      <c r="F3" s="3256"/>
      <c r="G3" s="3254"/>
    </row>
    <row r="4" spans="1:10" ht="33">
      <c r="A4" s="3257" t="s">
        <v>2978</v>
      </c>
      <c r="B4" s="3257" t="s">
        <v>2977</v>
      </c>
      <c r="C4" s="3257" t="s">
        <v>2976</v>
      </c>
      <c r="D4" s="3257" t="s">
        <v>2975</v>
      </c>
      <c r="E4" s="3256"/>
      <c r="F4" s="3254"/>
      <c r="G4" s="3254"/>
    </row>
    <row r="5" spans="1:10" ht="16.5">
      <c r="A5" s="3257" t="s">
        <v>2974</v>
      </c>
      <c r="B5" s="3257">
        <f ca="1">SUM(D14:D23)</f>
        <v>17113</v>
      </c>
      <c r="C5" s="3257">
        <f ca="1">ROUND(B5*10000/$B$1,0)</f>
        <v>49723</v>
      </c>
      <c r="D5" s="3257" t="e">
        <f ca="1">ROUND(B5*10000/$B$2,0)</f>
        <v>#DIV/0!</v>
      </c>
      <c r="E5" s="3256"/>
      <c r="F5" s="3254"/>
      <c r="G5" s="3254"/>
    </row>
    <row r="6" spans="1:10" ht="16.5">
      <c r="A6" s="3257" t="s">
        <v>2973</v>
      </c>
      <c r="B6" s="3257">
        <f ca="1">SUM(G14:G23)</f>
        <v>17113</v>
      </c>
      <c r="C6" s="3257">
        <f ca="1">ROUND(B6*10000/$B$1,0)</f>
        <v>49723</v>
      </c>
      <c r="D6" s="3257" t="e">
        <f ca="1">ROUND(B6*10000/$B$2,0)</f>
        <v>#DIV/0!</v>
      </c>
      <c r="E6" s="3256"/>
      <c r="F6" s="3254"/>
      <c r="G6" s="3254"/>
    </row>
    <row r="7" spans="1:10" ht="16.5">
      <c r="A7" s="3257" t="s">
        <v>2981</v>
      </c>
      <c r="B7" s="3257">
        <f>SUM(H14:H23)</f>
        <v>0</v>
      </c>
      <c r="C7" s="3257">
        <f>ROUND(B7*10000/$B$1,0)</f>
        <v>0</v>
      </c>
      <c r="D7" s="3257" t="e">
        <f>ROUND(B7*10000/$B$2,0)</f>
        <v>#DIV/0!</v>
      </c>
      <c r="E7" s="3256"/>
      <c r="F7" s="3254"/>
      <c r="G7" s="3254"/>
    </row>
    <row r="8" spans="1:10" ht="16.5">
      <c r="A8" s="3257" t="s">
        <v>2870</v>
      </c>
      <c r="B8" s="3257">
        <f>SUM(I14:I23)</f>
        <v>0</v>
      </c>
      <c r="C8" s="3257">
        <f>ROUND(B8*10000/$B$1,0)</f>
        <v>0</v>
      </c>
      <c r="D8" s="3257" t="e">
        <f>ROUND(B8*10000/$B$2,0)</f>
        <v>#DIV/0!</v>
      </c>
      <c r="E8" s="3256"/>
      <c r="F8" s="3254"/>
      <c r="G8" s="3254"/>
    </row>
    <row r="9" spans="1:10" ht="16.5">
      <c r="A9" s="3257" t="s">
        <v>2972</v>
      </c>
      <c r="B9" s="3259"/>
      <c r="C9" s="3256"/>
      <c r="D9" s="3256"/>
      <c r="E9" s="3256"/>
      <c r="F9" s="3254"/>
      <c r="G9" s="3254"/>
    </row>
    <row r="10" spans="1:10" ht="16.5">
      <c r="A10" s="3257" t="s">
        <v>2971</v>
      </c>
      <c r="B10" s="3259"/>
      <c r="C10" s="3256"/>
      <c r="D10" s="3256"/>
      <c r="E10" s="3256"/>
      <c r="F10" s="3254"/>
      <c r="G10" s="3254"/>
    </row>
    <row r="11" spans="1:10" ht="16.5">
      <c r="A11" s="3257" t="s">
        <v>2987</v>
      </c>
      <c r="B11" s="3259"/>
      <c r="C11" s="3256"/>
      <c r="D11" s="3256"/>
      <c r="E11" s="3256"/>
      <c r="F11" s="3254"/>
      <c r="G11" s="3254"/>
    </row>
    <row r="12" spans="1:10" ht="16.5">
      <c r="A12" s="3256"/>
      <c r="B12" s="3256"/>
      <c r="C12" s="3256"/>
      <c r="D12" s="3256"/>
      <c r="E12" s="3256"/>
      <c r="F12" s="3254"/>
      <c r="G12" s="3254"/>
    </row>
    <row r="13" spans="1:10" ht="33">
      <c r="A13" s="3262" t="s">
        <v>2986</v>
      </c>
      <c r="B13" s="3255" t="s">
        <v>2983</v>
      </c>
      <c r="C13" s="3255" t="s">
        <v>2985</v>
      </c>
      <c r="D13" s="3255" t="s">
        <v>2984</v>
      </c>
      <c r="E13" s="3257" t="s">
        <v>2976</v>
      </c>
      <c r="F13" s="3257" t="s">
        <v>2975</v>
      </c>
      <c r="G13" s="3255" t="s">
        <v>2969</v>
      </c>
      <c r="H13" s="3255" t="s">
        <v>2980</v>
      </c>
      <c r="I13" s="3255" t="s">
        <v>2968</v>
      </c>
      <c r="J13" s="3254"/>
    </row>
    <row r="14" spans="1:10" ht="16.5">
      <c r="A14" s="3253" t="s">
        <v>2967</v>
      </c>
      <c r="B14" s="3255">
        <f>'数据-汇总表'!E3</f>
        <v>3441.66</v>
      </c>
      <c r="C14" s="3255">
        <f>'数据-汇总表'!D3</f>
        <v>0</v>
      </c>
      <c r="D14" s="3255">
        <f ca="1">结果表!H118</f>
        <v>17113</v>
      </c>
      <c r="E14" s="3255">
        <f ca="1">ROUND(D14*10000/B14,0)</f>
        <v>49723</v>
      </c>
      <c r="F14" s="3255" t="e">
        <f ca="1">ROUND(D14*10000/C14,0)</f>
        <v>#DIV/0!</v>
      </c>
      <c r="G14" s="3255">
        <f ca="1">结果表!D122</f>
        <v>17113</v>
      </c>
      <c r="H14" s="3255" t="str">
        <f>结果表!D124</f>
        <v>——</v>
      </c>
      <c r="I14" s="3255" t="str">
        <f>结果表!D126</f>
        <v>——</v>
      </c>
      <c r="J14" s="3254"/>
    </row>
    <row r="15" spans="1:10" ht="16.5">
      <c r="A15" s="3253" t="s">
        <v>2966</v>
      </c>
      <c r="B15" s="3260"/>
      <c r="C15" s="3260"/>
      <c r="D15" s="3260"/>
      <c r="E15" s="3255" t="e">
        <f t="shared" ref="E15:E23" si="0">ROUND(D15*10000/B15,0)</f>
        <v>#DIV/0!</v>
      </c>
      <c r="F15" s="3255" t="e">
        <f t="shared" ref="F15:F23" si="1">ROUND(D15*10000/C15,0)</f>
        <v>#DIV/0!</v>
      </c>
      <c r="G15" s="3261"/>
      <c r="H15" s="3261"/>
      <c r="I15" s="3260"/>
      <c r="J15" s="3254"/>
    </row>
    <row r="16" spans="1:10" ht="16.5">
      <c r="A16" s="3253" t="s">
        <v>2965</v>
      </c>
      <c r="B16" s="3260"/>
      <c r="C16" s="3260"/>
      <c r="D16" s="3260"/>
      <c r="E16" s="3255" t="e">
        <f t="shared" si="0"/>
        <v>#DIV/0!</v>
      </c>
      <c r="F16" s="3255" t="e">
        <f t="shared" si="1"/>
        <v>#DIV/0!</v>
      </c>
      <c r="G16" s="3261"/>
      <c r="H16" s="3261"/>
      <c r="I16" s="3260"/>
    </row>
    <row r="17" spans="1:9" ht="16.5">
      <c r="A17" s="3253" t="s">
        <v>2964</v>
      </c>
      <c r="B17" s="3260"/>
      <c r="C17" s="3260"/>
      <c r="D17" s="3260"/>
      <c r="E17" s="3255" t="e">
        <f t="shared" si="0"/>
        <v>#DIV/0!</v>
      </c>
      <c r="F17" s="3255" t="e">
        <f t="shared" si="1"/>
        <v>#DIV/0!</v>
      </c>
      <c r="G17" s="3261"/>
      <c r="H17" s="3261"/>
      <c r="I17" s="3260"/>
    </row>
    <row r="18" spans="1:9" ht="16.5">
      <c r="A18" s="3253" t="s">
        <v>2963</v>
      </c>
      <c r="B18" s="3260"/>
      <c r="C18" s="3260"/>
      <c r="D18" s="3260"/>
      <c r="E18" s="3255" t="e">
        <f t="shared" si="0"/>
        <v>#DIV/0!</v>
      </c>
      <c r="F18" s="3255" t="e">
        <f t="shared" si="1"/>
        <v>#DIV/0!</v>
      </c>
      <c r="G18" s="3260"/>
      <c r="H18" s="3260"/>
      <c r="I18" s="3260"/>
    </row>
    <row r="19" spans="1:9" ht="16.5">
      <c r="A19" s="3253" t="s">
        <v>2962</v>
      </c>
      <c r="B19" s="3260"/>
      <c r="C19" s="3260"/>
      <c r="D19" s="3260"/>
      <c r="E19" s="3255" t="e">
        <f t="shared" si="0"/>
        <v>#DIV/0!</v>
      </c>
      <c r="F19" s="3255" t="e">
        <f t="shared" si="1"/>
        <v>#DIV/0!</v>
      </c>
      <c r="G19" s="3260"/>
      <c r="H19" s="3260"/>
      <c r="I19" s="3260"/>
    </row>
    <row r="20" spans="1:9" ht="16.5">
      <c r="A20" s="3253" t="s">
        <v>2961</v>
      </c>
      <c r="B20" s="3260"/>
      <c r="C20" s="3260"/>
      <c r="D20" s="3260"/>
      <c r="E20" s="3255" t="e">
        <f t="shared" si="0"/>
        <v>#DIV/0!</v>
      </c>
      <c r="F20" s="3255" t="e">
        <f t="shared" si="1"/>
        <v>#DIV/0!</v>
      </c>
      <c r="G20" s="3260"/>
      <c r="H20" s="3260"/>
      <c r="I20" s="3260"/>
    </row>
    <row r="21" spans="1:9" ht="16.5">
      <c r="A21" s="3253" t="s">
        <v>2960</v>
      </c>
      <c r="B21" s="3260"/>
      <c r="C21" s="3260"/>
      <c r="D21" s="3260"/>
      <c r="E21" s="3255" t="e">
        <f t="shared" si="0"/>
        <v>#DIV/0!</v>
      </c>
      <c r="F21" s="3255" t="e">
        <f t="shared" si="1"/>
        <v>#DIV/0!</v>
      </c>
      <c r="G21" s="3260"/>
      <c r="H21" s="3260"/>
      <c r="I21" s="3260"/>
    </row>
    <row r="22" spans="1:9" ht="16.5">
      <c r="A22" s="3253" t="s">
        <v>2959</v>
      </c>
      <c r="B22" s="3260"/>
      <c r="C22" s="3260"/>
      <c r="D22" s="3260"/>
      <c r="E22" s="3255" t="e">
        <f t="shared" si="0"/>
        <v>#DIV/0!</v>
      </c>
      <c r="F22" s="3255" t="e">
        <f t="shared" si="1"/>
        <v>#DIV/0!</v>
      </c>
      <c r="G22" s="3260"/>
      <c r="H22" s="3260"/>
      <c r="I22" s="3260"/>
    </row>
    <row r="23" spans="1:9" ht="16.5">
      <c r="A23" s="3253" t="s">
        <v>2958</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J122" sqref="J122"/>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760</v>
      </c>
      <c r="B1" s="1243"/>
      <c r="C1" s="2099" t="s">
        <v>3042</v>
      </c>
      <c r="D1" s="1243"/>
      <c r="E1" s="1243"/>
      <c r="F1" s="2083" t="s">
        <v>2107</v>
      </c>
      <c r="G1" s="2056" t="s">
        <v>3066</v>
      </c>
      <c r="H1" s="2112" t="str">
        <f>IF(G1="现房","——","估价对象范围")</f>
        <v>——</v>
      </c>
      <c r="I1" s="2089"/>
    </row>
    <row r="2" spans="1:12" ht="21.75" customHeight="1" thickBot="1">
      <c r="A2" s="3556" t="str">
        <f>项目基本情况!S2</f>
        <v>北京市海淀区金夕园甲1号三段-1至3层商业用房房地产房地产</v>
      </c>
      <c r="B2" s="3557"/>
      <c r="C2" s="3557"/>
      <c r="D2" s="3557"/>
      <c r="E2" s="3557"/>
      <c r="F2" s="3557"/>
      <c r="G2" s="3557"/>
      <c r="H2" s="3557"/>
      <c r="I2" s="3558"/>
    </row>
    <row r="3" spans="1:12" ht="12">
      <c r="A3" s="3560" t="s">
        <v>10</v>
      </c>
      <c r="B3" s="3561"/>
      <c r="C3" s="3561"/>
      <c r="D3" s="3561"/>
      <c r="E3" s="3561"/>
      <c r="F3" s="3561"/>
      <c r="G3" s="3561"/>
      <c r="H3" s="3561"/>
      <c r="I3" s="3561"/>
    </row>
    <row r="4" spans="1:12" ht="13.5">
      <c r="A4" s="429" t="s">
        <v>11</v>
      </c>
      <c r="B4" s="430" t="s">
        <v>12</v>
      </c>
      <c r="C4" s="431" t="s">
        <v>3137</v>
      </c>
      <c r="D4" s="431" t="s">
        <v>3136</v>
      </c>
      <c r="E4" s="3562" t="s">
        <v>761</v>
      </c>
      <c r="F4" s="3563"/>
      <c r="G4" s="3563"/>
      <c r="H4" s="3563"/>
      <c r="I4" s="3564"/>
      <c r="K4" s="2185" t="str">
        <f>IF(ISNUMBER(FIND("比较法",结果表!C4)),"比较法",IF(ISNUMBER(FIND("成本法",结果表!C4)),"成本法",IF(ISNUMBER(FIND("假设开发法",结果表!C4)),"假设开发法",IF(ISNUMBER(FIND("收益法",结果表!C4)),"收益法","基准地价系数修正法"))))</f>
        <v>基准地价系数修正法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35" t="s">
        <v>13</v>
      </c>
      <c r="B5" s="3522">
        <v>25</v>
      </c>
      <c r="C5" s="3538"/>
      <c r="D5" s="3559"/>
      <c r="E5" s="471" t="s">
        <v>805</v>
      </c>
      <c r="F5" s="432"/>
      <c r="G5" s="432"/>
      <c r="H5" s="432"/>
      <c r="I5" s="433"/>
    </row>
    <row r="6" spans="1:12" ht="12.75">
      <c r="A6" s="3535"/>
      <c r="B6" s="3522"/>
      <c r="C6" s="3539"/>
      <c r="D6" s="3559"/>
      <c r="E6" s="471" t="s">
        <v>806</v>
      </c>
      <c r="F6" s="432"/>
      <c r="G6" s="432"/>
      <c r="H6" s="432"/>
      <c r="I6" s="433"/>
    </row>
    <row r="7" spans="1:12" ht="12.75">
      <c r="A7" s="3535"/>
      <c r="B7" s="3522"/>
      <c r="C7" s="3540"/>
      <c r="D7" s="3559"/>
      <c r="E7" s="471" t="s">
        <v>807</v>
      </c>
      <c r="F7" s="432"/>
      <c r="G7" s="432"/>
      <c r="H7" s="432"/>
      <c r="I7" s="433"/>
    </row>
    <row r="8" spans="1:12" ht="12.75">
      <c r="A8" s="3535" t="s">
        <v>14</v>
      </c>
      <c r="B8" s="3522">
        <v>15</v>
      </c>
      <c r="C8" s="3538"/>
      <c r="D8" s="3559"/>
      <c r="E8" s="471" t="s">
        <v>808</v>
      </c>
      <c r="F8" s="432"/>
      <c r="G8" s="432"/>
      <c r="H8" s="432"/>
      <c r="I8" s="433"/>
    </row>
    <row r="9" spans="1:12" ht="12.75">
      <c r="A9" s="3535"/>
      <c r="B9" s="3522"/>
      <c r="C9" s="3540"/>
      <c r="D9" s="3559"/>
      <c r="E9" s="471" t="s">
        <v>809</v>
      </c>
      <c r="F9" s="432"/>
      <c r="G9" s="432"/>
      <c r="H9" s="432"/>
      <c r="I9" s="433"/>
    </row>
    <row r="10" spans="1:12" ht="12.75">
      <c r="A10" s="3535" t="s">
        <v>15</v>
      </c>
      <c r="B10" s="3522">
        <v>15</v>
      </c>
      <c r="C10" s="3538"/>
      <c r="D10" s="3559"/>
      <c r="E10" s="471" t="s">
        <v>810</v>
      </c>
      <c r="F10" s="432"/>
      <c r="G10" s="432"/>
      <c r="H10" s="432"/>
      <c r="I10" s="433"/>
    </row>
    <row r="11" spans="1:12" ht="12.75">
      <c r="A11" s="3535"/>
      <c r="B11" s="3522"/>
      <c r="C11" s="3540"/>
      <c r="D11" s="3559"/>
      <c r="E11" s="471" t="s">
        <v>811</v>
      </c>
      <c r="F11" s="432"/>
      <c r="G11" s="432"/>
      <c r="H11" s="432"/>
      <c r="I11" s="433"/>
    </row>
    <row r="12" spans="1:12" ht="12.75">
      <c r="A12" s="3535" t="s">
        <v>16</v>
      </c>
      <c r="B12" s="3522">
        <v>15</v>
      </c>
      <c r="C12" s="3538"/>
      <c r="D12" s="3559"/>
      <c r="E12" s="471" t="s">
        <v>812</v>
      </c>
      <c r="F12" s="432"/>
      <c r="G12" s="432"/>
      <c r="H12" s="432"/>
      <c r="I12" s="433"/>
    </row>
    <row r="13" spans="1:12" ht="12.75">
      <c r="A13" s="3535"/>
      <c r="B13" s="3522"/>
      <c r="C13" s="3540"/>
      <c r="D13" s="3559"/>
      <c r="E13" s="471" t="s">
        <v>813</v>
      </c>
      <c r="F13" s="432"/>
      <c r="G13" s="432"/>
      <c r="H13" s="432"/>
      <c r="I13" s="433"/>
    </row>
    <row r="14" spans="1:12" ht="12.75">
      <c r="A14" s="3535" t="s">
        <v>17</v>
      </c>
      <c r="B14" s="3522">
        <v>30</v>
      </c>
      <c r="C14" s="3538">
        <v>0.6</v>
      </c>
      <c r="D14" s="3559">
        <v>0.4</v>
      </c>
      <c r="E14" s="471" t="s">
        <v>814</v>
      </c>
      <c r="F14" s="432"/>
      <c r="G14" s="432"/>
      <c r="H14" s="432"/>
      <c r="I14" s="433"/>
    </row>
    <row r="15" spans="1:12" ht="12.75">
      <c r="A15" s="3535"/>
      <c r="B15" s="3522"/>
      <c r="C15" s="3539"/>
      <c r="D15" s="3559"/>
      <c r="E15" s="471" t="s">
        <v>815</v>
      </c>
      <c r="F15" s="432"/>
      <c r="G15" s="432"/>
      <c r="H15" s="432"/>
      <c r="I15" s="433"/>
    </row>
    <row r="16" spans="1:12" ht="12.75">
      <c r="A16" s="3535"/>
      <c r="B16" s="3522"/>
      <c r="C16" s="3540"/>
      <c r="D16" s="3559"/>
      <c r="E16" s="471" t="s">
        <v>816</v>
      </c>
      <c r="F16" s="432"/>
      <c r="G16" s="432"/>
      <c r="H16" s="432"/>
      <c r="I16" s="433"/>
    </row>
    <row r="17" spans="1:35" ht="14.25">
      <c r="A17" s="434" t="s">
        <v>18</v>
      </c>
      <c r="B17" s="38"/>
      <c r="C17" s="472">
        <f>SUM(C5:C16)</f>
        <v>0.6</v>
      </c>
      <c r="D17" s="472">
        <f>SUM(D5:D16)</f>
        <v>0.4</v>
      </c>
      <c r="E17" s="2278"/>
      <c r="F17" s="2278"/>
      <c r="G17" s="2278"/>
      <c r="H17" s="2278"/>
      <c r="I17" s="2278"/>
      <c r="K17" s="2185"/>
      <c r="L17" s="2186" t="s">
        <v>2315</v>
      </c>
      <c r="M17" s="2186" t="s">
        <v>2316</v>
      </c>
    </row>
    <row r="18" spans="1:35" ht="15" thickBot="1">
      <c r="A18" s="435" t="s">
        <v>19</v>
      </c>
      <c r="B18" s="18"/>
      <c r="C18" s="473">
        <f>ROUND(C17/SUM(C17:D17),2)</f>
        <v>0.6</v>
      </c>
      <c r="D18" s="473">
        <f>1-C18</f>
        <v>0.4</v>
      </c>
      <c r="E18" s="2278"/>
      <c r="F18" s="2278"/>
      <c r="G18" s="2278"/>
      <c r="H18" s="2278"/>
      <c r="I18" s="2278"/>
      <c r="K18" s="2185" t="s">
        <v>2129</v>
      </c>
      <c r="L18" s="2185">
        <f>IF(C1="",'数据-汇总表'!E3,SUMIF(项目类型,C1,'数据-汇总表'!E17:E26)+SUMIF(项目类型,C1,'数据-汇总表'!I17:I26))</f>
        <v>0</v>
      </c>
      <c r="M18" s="2185">
        <f>IF(C1="",'数据-汇总表'!E3,SUMIF(项目类型,C1,'数据-汇总表'!E17:E26))</f>
        <v>0</v>
      </c>
    </row>
    <row r="19" spans="1:35" ht="14.25">
      <c r="A19" s="436" t="s">
        <v>178</v>
      </c>
      <c r="B19" s="437" t="s">
        <v>20</v>
      </c>
      <c r="C19" s="474">
        <f ca="1">SUMIF(INDIRECT("'"&amp;C4&amp;"'"&amp;"!A:A"),结果表!B19,INDIRECT("'"&amp;C4&amp;"'"&amp;"!B:B"))</f>
        <v>19541</v>
      </c>
      <c r="D19" s="475">
        <f ca="1">SUMIF(INDIRECT("'"&amp;D4&amp;"'"&amp;"!A:A"),结果表!B19,INDIRECT("'"&amp;D4&amp;"'"&amp;"!B:B"))</f>
        <v>13472</v>
      </c>
      <c r="E19" s="436" t="s">
        <v>177</v>
      </c>
      <c r="F19" s="437" t="s">
        <v>20</v>
      </c>
      <c r="G19" s="476">
        <f ca="1">ROUND(C19*$C$18+D19*$D$18,0)</f>
        <v>17113</v>
      </c>
      <c r="H19" s="438" t="s">
        <v>226</v>
      </c>
      <c r="I19" s="2278"/>
      <c r="K19" s="2185" t="s">
        <v>2130</v>
      </c>
      <c r="L19" s="2185">
        <f>IF(C1="",'数据-汇总表'!D3,SUMIF(项目类型,C1,'数据-汇总表'!D17:D26)+SUMIF(项目类型,C1,'数据-汇总表'!H17:H27))</f>
        <v>0</v>
      </c>
      <c r="M19" s="2185">
        <f>IF(C1="",'数据-汇总表'!D3,SUMIF(项目类型,C1,'数据-汇总表'!D17:D26))</f>
        <v>0</v>
      </c>
    </row>
    <row r="20" spans="1:35" ht="14.25">
      <c r="A20" s="439"/>
      <c r="B20" s="440" t="s">
        <v>21</v>
      </c>
      <c r="C20" s="477">
        <f ca="1">SUMIF(INDIRECT("'"&amp;C4&amp;"'"&amp;"!A:A"),结果表!B20,INDIRECT("'"&amp;C4&amp;"'"&amp;"!B:B"))</f>
        <v>57670</v>
      </c>
      <c r="D20" s="478">
        <f ca="1">SUMIF(INDIRECT("'"&amp;D4&amp;"'"&amp;"!A:A"),结果表!B20,INDIRECT("'"&amp;D4&amp;"'"&amp;"!B:B"))</f>
        <v>39144</v>
      </c>
      <c r="E20" s="439"/>
      <c r="F20" s="440" t="s">
        <v>21</v>
      </c>
      <c r="G20" s="479">
        <f ca="1">ROUND(C20*$C$18+D20*$D$18,0)</f>
        <v>50260</v>
      </c>
      <c r="H20" s="441" t="s">
        <v>225</v>
      </c>
      <c r="I20" s="2278"/>
    </row>
    <row r="21" spans="1:35" ht="15" customHeight="1" thickBot="1">
      <c r="A21" s="443"/>
      <c r="B21" s="444" t="s">
        <v>22</v>
      </c>
      <c r="C21" s="1422" t="e">
        <f ca="1">ROUND(C19*10000/L19,0)</f>
        <v>#DIV/0!</v>
      </c>
      <c r="D21" s="1423" t="e">
        <f ca="1">ROUND(D19*10000/L19,0)</f>
        <v>#DIV/0!</v>
      </c>
      <c r="E21" s="443"/>
      <c r="F21" s="444" t="s">
        <v>22</v>
      </c>
      <c r="G21" s="480" t="e">
        <f ca="1">ROUND(G19*10000/L19,0)</f>
        <v>#DIV/0!</v>
      </c>
      <c r="H21" s="445" t="s">
        <v>225</v>
      </c>
      <c r="I21" s="2278"/>
    </row>
    <row r="22" spans="1:35" ht="15" thickBot="1">
      <c r="A22" s="275" t="s">
        <v>179</v>
      </c>
      <c r="B22" s="1424"/>
      <c r="C22" s="1425"/>
      <c r="D22" s="1426">
        <f ca="1">IF(C19&lt;D19,D19/C19-1,C19/D19-1)</f>
        <v>0.45048990498812347</v>
      </c>
      <c r="E22" s="2278"/>
      <c r="F22" s="2278"/>
      <c r="G22" s="2278"/>
      <c r="H22" s="2278"/>
      <c r="I22" s="2278"/>
    </row>
    <row r="23" spans="1:35" ht="12.75" hidden="1" thickBot="1">
      <c r="A23" s="1243"/>
      <c r="B23" s="1243"/>
      <c r="C23" s="1243"/>
      <c r="D23" s="1243"/>
      <c r="E23" s="2278"/>
      <c r="F23" s="2278"/>
      <c r="G23" s="2278"/>
      <c r="H23" s="2278"/>
      <c r="I23" s="2278"/>
    </row>
    <row r="24" spans="1:35" ht="14.25" hidden="1">
      <c r="A24" s="3529" t="s">
        <v>175</v>
      </c>
      <c r="B24" s="437" t="s">
        <v>20</v>
      </c>
      <c r="C24" s="476">
        <f>IF(B30=0,0,D30)</f>
        <v>0</v>
      </c>
      <c r="D24" s="446"/>
      <c r="E24" s="2278"/>
      <c r="F24" s="2278"/>
      <c r="G24" s="2278"/>
      <c r="H24" s="2278"/>
      <c r="I24" s="2278"/>
    </row>
    <row r="25" spans="1:35" ht="14.25" hidden="1">
      <c r="A25" s="3530"/>
      <c r="B25" s="440" t="s">
        <v>21</v>
      </c>
      <c r="C25" s="481">
        <f>IF(B30=0,0,C30)</f>
        <v>0</v>
      </c>
      <c r="D25" s="447"/>
      <c r="E25" s="2278"/>
      <c r="F25" s="2278"/>
      <c r="G25" s="2278"/>
      <c r="H25" s="2278"/>
      <c r="I25" s="2278"/>
    </row>
    <row r="26" spans="1:35" ht="13.5" hidden="1" customHeight="1">
      <c r="A26" s="448" t="s">
        <v>176</v>
      </c>
      <c r="B26" s="449" t="s">
        <v>118</v>
      </c>
      <c r="C26" s="449" t="s">
        <v>119</v>
      </c>
      <c r="D26" s="450" t="s">
        <v>120</v>
      </c>
      <c r="E26" s="2278"/>
      <c r="F26" s="2278"/>
      <c r="G26" s="2278"/>
      <c r="H26" s="2278"/>
      <c r="I26" s="2278"/>
    </row>
    <row r="27" spans="1:35" ht="14.25" hidden="1">
      <c r="A27" s="448"/>
      <c r="B27" s="482">
        <v>0</v>
      </c>
      <c r="C27" s="482">
        <v>0</v>
      </c>
      <c r="D27" s="483">
        <f>ROUND(C27*B27/10000,0)</f>
        <v>0</v>
      </c>
      <c r="E27" s="2278"/>
      <c r="F27" s="2278"/>
      <c r="G27" s="2278"/>
      <c r="H27" s="2278"/>
      <c r="I27" s="2278"/>
    </row>
    <row r="28" spans="1:35" ht="14.25" hidden="1">
      <c r="A28" s="448"/>
      <c r="B28" s="482"/>
      <c r="C28" s="482"/>
      <c r="D28" s="483"/>
      <c r="E28" s="2278"/>
      <c r="F28" s="2278"/>
      <c r="G28" s="2278"/>
      <c r="H28" s="2278"/>
      <c r="I28" s="2278"/>
    </row>
    <row r="29" spans="1:35" ht="14.25" hidden="1">
      <c r="A29" s="448"/>
      <c r="B29" s="482"/>
      <c r="C29" s="482"/>
      <c r="D29" s="483"/>
      <c r="E29" s="2278"/>
      <c r="F29" s="2278"/>
      <c r="G29" s="2278"/>
      <c r="H29" s="2278"/>
      <c r="I29" s="2278"/>
    </row>
    <row r="30" spans="1:35" ht="14.25" hidden="1">
      <c r="A30" s="451" t="s">
        <v>174</v>
      </c>
      <c r="B30" s="484">
        <f>SUM(B27:B29)</f>
        <v>0</v>
      </c>
      <c r="C30" s="484" t="e">
        <f>ROUND(D30*10000/B30,0)</f>
        <v>#DIV/0!</v>
      </c>
      <c r="D30" s="484">
        <f>SUM(D27:D29)</f>
        <v>0</v>
      </c>
      <c r="E30" s="2278"/>
      <c r="F30" s="2278"/>
      <c r="G30" s="2278"/>
      <c r="H30" s="2278"/>
      <c r="I30" s="2278"/>
    </row>
    <row r="31" spans="1:35" s="1245" customFormat="1" ht="14.25" hidden="1"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hidden="1" thickBot="1">
      <c r="A32" s="453" t="s">
        <v>173</v>
      </c>
      <c r="B32" s="454"/>
      <c r="C32" s="485">
        <f ca="1">IF(D32="总价",G19-C24,G20-C25)</f>
        <v>17113</v>
      </c>
      <c r="D32" s="2093" t="s">
        <v>208</v>
      </c>
      <c r="E32" s="2278"/>
      <c r="F32" s="2278"/>
      <c r="G32" s="2278"/>
      <c r="H32" s="2278"/>
      <c r="I32" s="2278"/>
    </row>
    <row r="33" spans="1:15" ht="13.5" hidden="1">
      <c r="A33" s="457" t="s">
        <v>762</v>
      </c>
      <c r="B33" s="2092"/>
      <c r="C33" s="2875" t="s">
        <v>3139</v>
      </c>
      <c r="D33" s="2878" t="s">
        <v>3128</v>
      </c>
      <c r="E33" s="2090" t="s">
        <v>2109</v>
      </c>
      <c r="F33" s="2091" t="str">
        <f>IF(D32="楼面单价","取值（单价）","取值（总价）")</f>
        <v>取值（总价）</v>
      </c>
      <c r="G33" s="2278"/>
      <c r="H33" s="2278"/>
      <c r="I33" s="2278"/>
    </row>
    <row r="34" spans="1:15" ht="15" hidden="1">
      <c r="A34" s="458"/>
      <c r="B34" s="459" t="s">
        <v>765</v>
      </c>
      <c r="C34" s="489">
        <f ca="1">IF(C33="自定义",F34,C32-C35)</f>
        <v>14820</v>
      </c>
      <c r="D34" s="2094">
        <f ca="1">IF(C33="自定义",ROUND(C34/C32,3),IF(C33="收益比率",SUMIF(INDIRECT("'"&amp;D33&amp;"'"&amp;"!b:b"),"土地收益比率",INDIRECT("'"&amp;D33&amp;"'"&amp;"!c:c")),SUMIF(INDIRECT("'"&amp;D33&amp;"'"&amp;"!b:b"),"土地成本比率",INDIRECT("'"&amp;D33&amp;"'"&amp;"!c:c"))))</f>
        <v>0.86599999999999999</v>
      </c>
      <c r="E34" s="2876" t="s">
        <v>2110</v>
      </c>
      <c r="F34" s="3250"/>
      <c r="G34" s="2278"/>
      <c r="H34" s="2278"/>
      <c r="I34" s="2278"/>
    </row>
    <row r="35" spans="1:15" ht="15.75" hidden="1" thickBot="1">
      <c r="A35" s="461"/>
      <c r="B35" s="2879" t="s">
        <v>767</v>
      </c>
      <c r="C35" s="2880">
        <f ca="1">IF(C33="自定义",F35,ROUND(C32*D35,0))</f>
        <v>2293</v>
      </c>
      <c r="D35" s="2881">
        <f ca="1">IF(C33="自定义",ROUND(C35/C32,3),IF(C33="收益比率",SUMIF(INDIRECT("'"&amp;D33&amp;"'"&amp;"!b:b"),"建筑物收益比率",INDIRECT("'"&amp;D33&amp;"'"&amp;"!c:c")),SUMIF(INDIRECT("'"&amp;D33&amp;"'"&amp;"!b:b"),"建筑物成本比率",INDIRECT("'"&amp;D33&amp;"'"&amp;"!c:c"))))</f>
        <v>0.13400000000000001</v>
      </c>
      <c r="E35" s="2877" t="s">
        <v>2111</v>
      </c>
      <c r="F35" s="495"/>
      <c r="G35" s="2278"/>
      <c r="H35" s="2278"/>
      <c r="I35" s="2278"/>
    </row>
    <row r="36" spans="1:15" ht="15.75" hidden="1" thickBot="1">
      <c r="A36" s="3548" t="s">
        <v>763</v>
      </c>
      <c r="B36" s="455" t="s">
        <v>764</v>
      </c>
      <c r="C36" s="486"/>
      <c r="D36" s="456"/>
      <c r="E36" s="1246"/>
      <c r="F36" s="2279"/>
      <c r="G36" s="2278"/>
      <c r="H36" s="2278"/>
      <c r="I36" s="2278"/>
    </row>
    <row r="37" spans="1:15" ht="15.75" hidden="1" thickBot="1">
      <c r="A37" s="3549"/>
      <c r="B37" s="13" t="s">
        <v>766</v>
      </c>
      <c r="C37" s="488"/>
      <c r="D37" s="2227"/>
      <c r="E37" s="2227"/>
      <c r="F37" s="2279"/>
      <c r="G37" s="2278"/>
      <c r="H37" s="2278"/>
      <c r="I37" s="2278"/>
    </row>
    <row r="38" spans="1:15" ht="15.75" hidden="1" thickBot="1">
      <c r="A38" s="3550"/>
      <c r="B38" s="460" t="s">
        <v>768</v>
      </c>
      <c r="C38" s="1137"/>
      <c r="D38" s="1247" t="s">
        <v>769</v>
      </c>
      <c r="E38" s="2227"/>
      <c r="F38" s="2279"/>
      <c r="G38" s="2278"/>
      <c r="H38" s="2278"/>
      <c r="I38" s="2278"/>
    </row>
    <row r="39" spans="1:15" ht="13.5" hidden="1">
      <c r="A39" s="439" t="s">
        <v>770</v>
      </c>
      <c r="B39" s="462" t="s">
        <v>771</v>
      </c>
      <c r="C39" s="463" t="s">
        <v>772</v>
      </c>
      <c r="D39" s="463" t="s">
        <v>773</v>
      </c>
      <c r="E39" s="464" t="s">
        <v>774</v>
      </c>
      <c r="F39" s="2279"/>
      <c r="G39" s="2278"/>
      <c r="H39" s="2278"/>
      <c r="I39" s="2278"/>
    </row>
    <row r="40" spans="1:15" ht="13.5" hidden="1">
      <c r="A40" s="1248" t="s">
        <v>775</v>
      </c>
      <c r="B40" s="490"/>
      <c r="C40" s="491"/>
      <c r="D40" s="491"/>
      <c r="E40" s="492"/>
      <c r="F40" s="2279"/>
      <c r="G40" s="2278"/>
      <c r="H40" s="2278"/>
      <c r="I40" s="2278"/>
    </row>
    <row r="41" spans="1:15" ht="13.5" hidden="1">
      <c r="A41" s="1248" t="s">
        <v>776</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777</v>
      </c>
      <c r="B44" s="1253"/>
      <c r="C44" s="1253"/>
      <c r="D44" s="1254"/>
      <c r="E44" s="1254"/>
      <c r="F44" s="1255"/>
      <c r="G44" s="1255"/>
      <c r="H44" s="1255"/>
      <c r="I44" s="1255"/>
      <c r="J44" s="3267" t="s">
        <v>212</v>
      </c>
      <c r="K44" s="3268"/>
      <c r="L44" s="3268"/>
      <c r="M44" s="3268"/>
      <c r="N44" s="3268"/>
      <c r="O44" s="3268"/>
    </row>
    <row r="45" spans="1:15" ht="14.25" hidden="1" customHeight="1" thickBot="1">
      <c r="A45" s="3526" t="s">
        <v>797</v>
      </c>
      <c r="B45" s="3527"/>
      <c r="C45" s="3528"/>
      <c r="D45" s="496">
        <f ca="1">ROUND(H101*F45,0)</f>
        <v>17113</v>
      </c>
      <c r="E45" s="497" t="s">
        <v>798</v>
      </c>
      <c r="F45" s="498">
        <v>1</v>
      </c>
      <c r="G45" s="499" t="s">
        <v>799</v>
      </c>
      <c r="H45" s="2278"/>
      <c r="I45" s="2278"/>
      <c r="J45" s="3590" t="s">
        <v>213</v>
      </c>
      <c r="K45" s="3590"/>
      <c r="L45" s="3590"/>
      <c r="M45" s="3590"/>
      <c r="N45" s="3590"/>
      <c r="O45" s="3590"/>
    </row>
    <row r="46" spans="1:15" ht="14.25" hidden="1" customHeight="1">
      <c r="A46" s="3523" t="s">
        <v>285</v>
      </c>
      <c r="B46" s="3524"/>
      <c r="C46" s="3524"/>
      <c r="D46" s="3524"/>
      <c r="E46" s="3524"/>
      <c r="F46" s="3524"/>
      <c r="G46" s="3525"/>
      <c r="H46" s="2280"/>
      <c r="I46" s="2233"/>
      <c r="J46" s="1501">
        <v>1</v>
      </c>
      <c r="K46" s="3590" t="s">
        <v>214</v>
      </c>
      <c r="L46" s="3590"/>
      <c r="M46" s="3614"/>
      <c r="N46" s="3614"/>
      <c r="O46" s="3614"/>
    </row>
    <row r="47" spans="1:15" ht="12" hidden="1" customHeight="1">
      <c r="A47" s="501" t="s">
        <v>286</v>
      </c>
      <c r="B47" s="502"/>
      <c r="C47" s="503"/>
      <c r="D47" s="504" t="s">
        <v>287</v>
      </c>
      <c r="E47" s="313" t="s">
        <v>288</v>
      </c>
      <c r="F47" s="505" t="s">
        <v>800</v>
      </c>
      <c r="G47" s="506" t="s">
        <v>801</v>
      </c>
      <c r="H47" s="2280"/>
      <c r="I47" s="2233"/>
      <c r="J47" s="1501">
        <v>2</v>
      </c>
      <c r="K47" s="3590" t="s">
        <v>215</v>
      </c>
      <c r="L47" s="3590"/>
      <c r="M47" s="3615">
        <f>'数据-取费表'!B2</f>
        <v>42997</v>
      </c>
      <c r="N47" s="3615"/>
      <c r="O47" s="3615"/>
    </row>
    <row r="48" spans="1:15" ht="25.5" hidden="1">
      <c r="A48" s="3555" t="s">
        <v>289</v>
      </c>
      <c r="B48" s="3537"/>
      <c r="C48" s="3537"/>
      <c r="D48" s="471">
        <f>IF(H48="情况1",0,IF(H48="情况2",D52,IF(H48="情况3",D53,IF(H48="情况4",D54))))</f>
        <v>0</v>
      </c>
      <c r="E48" s="1924" t="str">
        <f>IF(H48="情况4","(销售额-原购置价)×税（费）率","销售额×税（费）率")</f>
        <v>销售额×税（费）率</v>
      </c>
      <c r="F48" s="507" t="str">
        <f>IF(H48="情况1","免征",'数据-取费表'!B41)</f>
        <v>免征</v>
      </c>
      <c r="G48" s="465" t="s">
        <v>778</v>
      </c>
      <c r="H48" s="1432" t="s">
        <v>2412</v>
      </c>
      <c r="I48" s="2280"/>
      <c r="J48" s="1501">
        <v>3</v>
      </c>
      <c r="K48" s="3590" t="s">
        <v>779</v>
      </c>
      <c r="L48" s="3590"/>
      <c r="M48" s="3616">
        <f ca="1">H101</f>
        <v>17113</v>
      </c>
      <c r="N48" s="3616"/>
      <c r="O48" s="3616"/>
    </row>
    <row r="49" spans="1:35" ht="25.5" hidden="1" customHeight="1">
      <c r="A49" s="508" t="s">
        <v>802</v>
      </c>
      <c r="B49" s="3521" t="s">
        <v>803</v>
      </c>
      <c r="C49" s="3521"/>
      <c r="D49" s="509">
        <v>0</v>
      </c>
      <c r="E49" s="312" t="s">
        <v>804</v>
      </c>
      <c r="F49" s="317" t="s">
        <v>169</v>
      </c>
      <c r="G49" s="3596"/>
      <c r="H49" s="2278"/>
      <c r="I49" s="2281"/>
      <c r="J49" s="1501">
        <v>4</v>
      </c>
      <c r="K49" s="3590" t="str">
        <f>IF(项目基本情况!E8="房地产抵押价值","房地产抵押价值","抵押担保权已注销时的房地产抵押价值")</f>
        <v>房地产抵押价值</v>
      </c>
      <c r="L49" s="3590"/>
      <c r="M49" s="3616">
        <f ca="1">IF(项目基本情况!E8="房地产抵押价值",H107,H109)</f>
        <v>17113</v>
      </c>
      <c r="N49" s="3616"/>
      <c r="O49" s="3616"/>
    </row>
    <row r="50" spans="1:35" ht="25.5" hidden="1" customHeight="1">
      <c r="A50" s="510"/>
      <c r="B50" s="3521" t="s">
        <v>292</v>
      </c>
      <c r="C50" s="3521"/>
      <c r="D50" s="511"/>
      <c r="E50" s="320"/>
      <c r="F50" s="512"/>
      <c r="G50" s="3597"/>
      <c r="H50" s="2278"/>
      <c r="I50" s="2281"/>
      <c r="J50" s="3590" t="s">
        <v>216</v>
      </c>
      <c r="K50" s="3590"/>
      <c r="L50" s="3590"/>
      <c r="M50" s="3590"/>
      <c r="N50" s="3590"/>
      <c r="O50" s="3590"/>
    </row>
    <row r="51" spans="1:35" ht="12" hidden="1" customHeight="1">
      <c r="A51" s="513"/>
      <c r="B51" s="3521" t="s">
        <v>293</v>
      </c>
      <c r="C51" s="3521"/>
      <c r="D51" s="514"/>
      <c r="E51" s="319"/>
      <c r="F51" s="512"/>
      <c r="G51" s="3598"/>
      <c r="H51" s="2278"/>
      <c r="I51" s="2281"/>
      <c r="J51" s="3269" t="s">
        <v>217</v>
      </c>
      <c r="K51" s="3590" t="s">
        <v>218</v>
      </c>
      <c r="L51" s="3590"/>
      <c r="M51" s="3269" t="s">
        <v>2995</v>
      </c>
      <c r="N51" s="3269" t="s">
        <v>219</v>
      </c>
      <c r="O51" s="3269" t="s">
        <v>220</v>
      </c>
    </row>
    <row r="52" spans="1:35" ht="24" hidden="1" customHeight="1">
      <c r="A52" s="515" t="s">
        <v>294</v>
      </c>
      <c r="B52" s="3521" t="s">
        <v>295</v>
      </c>
      <c r="C52" s="3521"/>
      <c r="D52" s="514">
        <f ca="1">ROUND(D45*'数据-取费表'!B41/(1+'数据-取费表'!C42),0)</f>
        <v>872</v>
      </c>
      <c r="E52" s="299" t="s">
        <v>296</v>
      </c>
      <c r="F52" s="516">
        <f>'数据-取费表'!B41</f>
        <v>5.3500000000000006E-2</v>
      </c>
      <c r="G52" s="466"/>
      <c r="H52" s="2278"/>
      <c r="I52" s="2281"/>
      <c r="J52" s="1501">
        <v>1</v>
      </c>
      <c r="K52" s="3591" t="s">
        <v>780</v>
      </c>
      <c r="L52" s="3591"/>
      <c r="M52" s="3270">
        <f>D48</f>
        <v>0</v>
      </c>
      <c r="N52" s="1500" t="str">
        <f>E48</f>
        <v>销售额×税（费）率</v>
      </c>
      <c r="O52" s="3271" t="str">
        <f>F48</f>
        <v>免征</v>
      </c>
    </row>
    <row r="53" spans="1:35" ht="12" hidden="1" customHeight="1">
      <c r="A53" s="515" t="s">
        <v>297</v>
      </c>
      <c r="B53" s="3546" t="s">
        <v>298</v>
      </c>
      <c r="C53" s="3547"/>
      <c r="D53" s="514">
        <f ca="1">ROUND(D45*'数据-取费表'!B41/(1+'数据-取费表'!C42),0)</f>
        <v>872</v>
      </c>
      <c r="E53" s="299" t="s">
        <v>296</v>
      </c>
      <c r="F53" s="516">
        <f>'数据-取费表'!B41</f>
        <v>5.3500000000000006E-2</v>
      </c>
      <c r="G53" s="466"/>
      <c r="H53" s="2278"/>
      <c r="I53" s="2281"/>
      <c r="J53" s="1501">
        <v>2</v>
      </c>
      <c r="K53" s="3591" t="s">
        <v>781</v>
      </c>
      <c r="L53" s="3591"/>
      <c r="M53" s="3270">
        <f t="shared" ref="M53:O54" ca="1" si="0">D55</f>
        <v>0</v>
      </c>
      <c r="N53" s="1500" t="str">
        <f t="shared" si="0"/>
        <v>销售额×税（费）率</v>
      </c>
      <c r="O53" s="3271">
        <f t="shared" si="0"/>
        <v>0</v>
      </c>
    </row>
    <row r="54" spans="1:35" ht="12" hidden="1" customHeight="1">
      <c r="A54" s="515" t="s">
        <v>299</v>
      </c>
      <c r="B54" s="3546" t="s">
        <v>300</v>
      </c>
      <c r="C54" s="3547"/>
      <c r="D54" s="514">
        <f ca="1">C68</f>
        <v>872</v>
      </c>
      <c r="E54" s="319" t="s">
        <v>301</v>
      </c>
      <c r="F54" s="516">
        <f>'数据-取费表'!B41</f>
        <v>5.3500000000000006E-2</v>
      </c>
      <c r="G54" s="466"/>
      <c r="H54" s="2282"/>
      <c r="I54" s="2281"/>
      <c r="J54" s="1501">
        <v>3</v>
      </c>
      <c r="K54" s="3591" t="s">
        <v>782</v>
      </c>
      <c r="L54" s="3591"/>
      <c r="M54" s="3270">
        <f t="shared" ca="1" si="0"/>
        <v>9725</v>
      </c>
      <c r="N54" s="1500" t="str">
        <f t="shared" si="0"/>
        <v>增值额×税（费）率</v>
      </c>
      <c r="O54" s="3272" t="str">
        <f t="shared" si="0"/>
        <v>——</v>
      </c>
    </row>
    <row r="55" spans="1:35" ht="24" hidden="1" customHeight="1">
      <c r="A55" s="3536" t="s">
        <v>302</v>
      </c>
      <c r="B55" s="3537"/>
      <c r="C55" s="3537"/>
      <c r="D55" s="517">
        <f ca="1">IF(H55="个人住宅",0,ROUND(D45*I55,0))</f>
        <v>0</v>
      </c>
      <c r="E55" s="299" t="s">
        <v>303</v>
      </c>
      <c r="F55" s="516">
        <f>IF(H55="正常",I55,"免征")</f>
        <v>0</v>
      </c>
      <c r="G55" s="466"/>
      <c r="H55" s="1432" t="s">
        <v>153</v>
      </c>
      <c r="I55" s="518">
        <f>'数据-取费表'!B49</f>
        <v>0</v>
      </c>
      <c r="J55" s="1501" t="str">
        <f>IF(H59="非个人房产","",4)</f>
        <v/>
      </c>
      <c r="K55" s="3591" t="str">
        <f>IF(H59="非个人房产","——","个人所得税")</f>
        <v>——</v>
      </c>
      <c r="L55" s="3591"/>
      <c r="M55" s="3273" t="str">
        <f>D59</f>
        <v>——</v>
      </c>
      <c r="N55" s="3274" t="str">
        <f>E59</f>
        <v>——</v>
      </c>
      <c r="O55" s="3275" t="str">
        <f>F59</f>
        <v>——</v>
      </c>
    </row>
    <row r="56" spans="1:35" ht="24.75" hidden="1">
      <c r="A56" s="3536" t="s">
        <v>304</v>
      </c>
      <c r="B56" s="3537"/>
      <c r="C56" s="3537"/>
      <c r="D56" s="517">
        <f ca="1">IF(H56="个人住宅",D57,D58)</f>
        <v>9725</v>
      </c>
      <c r="E56" s="299" t="s">
        <v>305</v>
      </c>
      <c r="F56" s="516" t="str">
        <f>IF(H56="正常",F58,"免征")</f>
        <v>——</v>
      </c>
      <c r="G56" s="1256" t="s">
        <v>783</v>
      </c>
      <c r="H56" s="1431" t="s">
        <v>153</v>
      </c>
      <c r="I56" s="2283"/>
      <c r="J56" s="1501" t="str">
        <f>IF(项目基本情况!K6="上海银行",IF(J55="",4,J55+1),"")</f>
        <v/>
      </c>
      <c r="K56" s="3618" t="str">
        <f>IF(项目基本情况!K6="上海银行","其他处置费用","")</f>
        <v/>
      </c>
      <c r="L56" s="3619"/>
      <c r="M56" s="3270" t="str">
        <f>IF(项目基本情况!K6="上海银行",M69,"")</f>
        <v/>
      </c>
      <c r="N56" s="3621" t="str">
        <f>IF(项目基本情况!K6="上海银行","包含处置中涉及的律师、诉讼、拍卖、评估等费用","")</f>
        <v/>
      </c>
      <c r="O56" s="3622"/>
    </row>
    <row r="57" spans="1:35" ht="12.75" hidden="1">
      <c r="A57" s="515" t="s">
        <v>290</v>
      </c>
      <c r="B57" s="3553" t="s">
        <v>306</v>
      </c>
      <c r="C57" s="3576"/>
      <c r="D57" s="519">
        <v>0</v>
      </c>
      <c r="E57" s="312" t="s">
        <v>291</v>
      </c>
      <c r="F57" s="487"/>
      <c r="G57" s="466"/>
      <c r="H57" s="2283"/>
      <c r="I57" s="2283"/>
      <c r="J57" s="3601">
        <f>IF(AND(J55="",J56=""),4,IF(项目基本情况!K6="上海银行",结果表!J56+1,结果表!J55+1))</f>
        <v>4</v>
      </c>
      <c r="K57" s="3591" t="s">
        <v>784</v>
      </c>
      <c r="L57" s="3276" t="s">
        <v>221</v>
      </c>
      <c r="M57" s="3277"/>
      <c r="N57" s="3278">
        <f ca="1">SUMIF(M52:M56,"&lt;9e307")</f>
        <v>9725</v>
      </c>
      <c r="O57" s="3279"/>
      <c r="P57" s="3266">
        <f ca="1">N57/M49</f>
        <v>0.56828142347922628</v>
      </c>
    </row>
    <row r="58" spans="1:35" ht="24.75" hidden="1">
      <c r="A58" s="515" t="s">
        <v>294</v>
      </c>
      <c r="B58" s="3553" t="s">
        <v>307</v>
      </c>
      <c r="C58" s="3554"/>
      <c r="D58" s="517">
        <f ca="1">IF(H58="转让取得",C81,C97)</f>
        <v>9725</v>
      </c>
      <c r="E58" s="299" t="s">
        <v>305</v>
      </c>
      <c r="F58" s="313" t="s">
        <v>169</v>
      </c>
      <c r="G58" s="466"/>
      <c r="H58" s="1431" t="s">
        <v>1135</v>
      </c>
      <c r="I58" s="2283"/>
      <c r="J58" s="3601"/>
      <c r="K58" s="3591"/>
      <c r="L58" s="3276" t="s">
        <v>222</v>
      </c>
      <c r="M58" s="3280"/>
      <c r="N58" s="3281" t="str">
        <f ca="1">NUMBERSTRING(INT(N57*10000),2)&amp;"元整"</f>
        <v>玖仟柒佰贰拾伍万元整</v>
      </c>
      <c r="O58" s="3282"/>
    </row>
    <row r="59" spans="1:35" ht="24.75" hidden="1" thickBot="1">
      <c r="A59" s="3594" t="s">
        <v>308</v>
      </c>
      <c r="B59" s="3595"/>
      <c r="C59" s="3595"/>
      <c r="D59" s="520" t="str">
        <f>IF(H59="非个人房产","——",IF(H59="个人住宅",0,ROUND(D45*I59,0)))</f>
        <v>——</v>
      </c>
      <c r="E59" s="521" t="str">
        <f>IF(H59="非个人房产","——","销售额×税（费）率")</f>
        <v>——</v>
      </c>
      <c r="F59" s="522" t="str">
        <f>IF(H59="非个人房产","——",IF(H59="个人住宅","免征",I59))</f>
        <v>——</v>
      </c>
      <c r="G59" s="1257" t="s">
        <v>168</v>
      </c>
      <c r="H59" s="1431" t="s">
        <v>1134</v>
      </c>
      <c r="I59" s="523">
        <v>0.01</v>
      </c>
      <c r="J59" s="3592">
        <f>J57+1</f>
        <v>5</v>
      </c>
      <c r="K59" s="3591" t="s">
        <v>170</v>
      </c>
      <c r="L59" s="1500" t="s">
        <v>221</v>
      </c>
      <c r="M59" s="3283"/>
      <c r="N59" s="3284">
        <f ca="1">M49-N57</f>
        <v>7388</v>
      </c>
      <c r="O59" s="3285"/>
    </row>
    <row r="60" spans="1:35" ht="12" hidden="1" customHeight="1">
      <c r="A60" s="1258"/>
      <c r="B60" s="1243"/>
      <c r="C60" s="1243"/>
      <c r="D60" s="1243"/>
      <c r="E60" s="229"/>
      <c r="F60" s="2283"/>
      <c r="G60" s="2283"/>
      <c r="H60" s="2284"/>
      <c r="I60" s="2278"/>
      <c r="J60" s="3593"/>
      <c r="K60" s="3591"/>
      <c r="L60" s="3276" t="s">
        <v>222</v>
      </c>
      <c r="M60" s="3280"/>
      <c r="N60" s="3281" t="str">
        <f ca="1">NUMBERSTRING(INT(N59*10000),2)&amp;"元整"</f>
        <v>柒仟叁佰捌拾捌万元整</v>
      </c>
      <c r="O60" s="3282"/>
    </row>
    <row r="61" spans="1:35" ht="13.5" hidden="1" thickBot="1">
      <c r="A61" s="3534" t="s">
        <v>309</v>
      </c>
      <c r="B61" s="3534"/>
      <c r="C61" s="3534"/>
      <c r="D61" s="3534"/>
      <c r="E61" s="3534"/>
      <c r="F61" s="2283"/>
      <c r="G61" s="2283"/>
      <c r="H61" s="2284"/>
      <c r="I61" s="2278"/>
      <c r="J61" s="1501">
        <f>J59+1</f>
        <v>6</v>
      </c>
      <c r="K61" s="3591" t="s">
        <v>223</v>
      </c>
      <c r="L61" s="3591"/>
      <c r="M61" s="3286"/>
      <c r="N61" s="3287">
        <f ca="1">ROUND(N59*10000/'数据-汇总表'!E3,0)</f>
        <v>21466</v>
      </c>
      <c r="O61" s="3288"/>
    </row>
    <row r="62" spans="1:35" ht="12.75" hidden="1">
      <c r="A62" s="3551" t="s">
        <v>310</v>
      </c>
      <c r="B62" s="3552"/>
      <c r="C62" s="1918"/>
      <c r="D62" s="1918" t="s">
        <v>318</v>
      </c>
      <c r="E62" s="524" t="s">
        <v>319</v>
      </c>
      <c r="F62" s="2283"/>
      <c r="G62" s="2283"/>
      <c r="H62" s="2284"/>
      <c r="I62" s="2278"/>
    </row>
    <row r="63" spans="1:35" ht="12.75" hidden="1">
      <c r="A63" s="535" t="s">
        <v>1897</v>
      </c>
      <c r="B63" s="525" t="s">
        <v>311</v>
      </c>
      <c r="C63" s="526">
        <f ca="1">ROUND((C64+C65)/(1+'数据-取费表'!C42),0)</f>
        <v>16298</v>
      </c>
      <c r="D63" s="527"/>
      <c r="E63" s="528"/>
      <c r="F63" s="2283"/>
      <c r="G63" s="2283"/>
      <c r="H63" s="2284"/>
      <c r="I63" s="2278"/>
      <c r="J63" s="3620" t="s">
        <v>2988</v>
      </c>
      <c r="K63" s="3265" t="s">
        <v>2989</v>
      </c>
      <c r="L63" s="3263">
        <f ca="1">IF(M49&gt;10000,M49*0.5%,IF(AND(M49&gt;1000,M49&lt;=10000),M49*1%,IF(AND(M49&gt;100,M49&lt;=1000),M49*3%,IF(AND(M49&gt;10,M49&lt;=100),M49*5%,M49*8%))))</f>
        <v>85.564999999999998</v>
      </c>
      <c r="M63" s="313">
        <f ca="1">ROUND(L63,1)</f>
        <v>85.6</v>
      </c>
      <c r="Z63" s="1434"/>
      <c r="AI63" s="1244"/>
    </row>
    <row r="64" spans="1:35" ht="14.25" hidden="1" customHeight="1">
      <c r="A64" s="529" t="s">
        <v>1892</v>
      </c>
      <c r="B64" s="530" t="s">
        <v>312</v>
      </c>
      <c r="C64" s="531">
        <f ca="1">D45</f>
        <v>17113</v>
      </c>
      <c r="D64" s="532" t="s">
        <v>165</v>
      </c>
      <c r="E64" s="533"/>
      <c r="F64" s="2283"/>
      <c r="G64" s="2283"/>
      <c r="H64" s="2284"/>
      <c r="I64" s="2278"/>
      <c r="J64" s="3620"/>
      <c r="K64" s="3265" t="s">
        <v>2990</v>
      </c>
      <c r="L64" s="3263">
        <f ca="1">IF(M49&gt;2000,M49*0.5%,IF(AND(M49&gt;1000,M49&lt;=2000),M49*0.6%,IF(AND(M49&gt;500,M49&lt;=1000),M49*0.7%,IF(AND(M49&gt;200,M49&lt;=500),M49*0.8%,IF(AND(M49&gt;100,M49&lt;=200),M49*0.9%,IF(AND(M49&gt;50,M49&lt;=100),M49*1%,IF(AND(M49&gt;20,M49&lt;=50),M49*1.5%,IF(AND(M49&gt;10,M49&lt;=20),M49*2%,IF(AND(M49&gt;1,M49&lt;=10),M49*2.5%)))))))))</f>
        <v>85.564999999999998</v>
      </c>
      <c r="M64" s="313">
        <f t="shared" ref="M64:M65" ca="1" si="1">ROUND(L64,1)</f>
        <v>85.6</v>
      </c>
      <c r="N64" s="469" t="s">
        <v>2996</v>
      </c>
      <c r="Z64" s="1434"/>
      <c r="AI64" s="1244"/>
    </row>
    <row r="65" spans="1:35" ht="14.25" hidden="1" customHeight="1">
      <c r="A65" s="529" t="s">
        <v>1893</v>
      </c>
      <c r="B65" s="530" t="s">
        <v>313</v>
      </c>
      <c r="C65" s="534"/>
      <c r="D65" s="532"/>
      <c r="E65" s="533"/>
      <c r="F65" s="2283"/>
      <c r="G65" s="2283"/>
      <c r="H65" s="2284"/>
      <c r="I65" s="2278"/>
      <c r="J65" s="3620"/>
      <c r="K65" s="3265" t="s">
        <v>2991</v>
      </c>
      <c r="L65" s="3263">
        <f ca="1">IF(M49&gt;1000,M49*0.1%,IF(AND(M49&gt;500,M49&lt;=1000),M49*0.5%,IF(AND(M49&gt;50,M49&lt;=500),M49*1%,IF(AND(M49&gt;1,M49&lt;=50),M49*1.5%))))</f>
        <v>17.113</v>
      </c>
      <c r="M65" s="313">
        <f t="shared" ca="1" si="1"/>
        <v>17.100000000000001</v>
      </c>
      <c r="N65" s="469" t="s">
        <v>2997</v>
      </c>
      <c r="Z65" s="1434"/>
      <c r="AI65" s="1244"/>
    </row>
    <row r="66" spans="1:35" ht="14.25" hidden="1" customHeight="1">
      <c r="A66" s="535" t="s">
        <v>1894</v>
      </c>
      <c r="B66" s="536" t="s">
        <v>314</v>
      </c>
      <c r="C66" s="537"/>
      <c r="D66" s="538" t="s">
        <v>165</v>
      </c>
      <c r="E66" s="3317" t="s">
        <v>3035</v>
      </c>
      <c r="F66" s="2283"/>
      <c r="G66" s="2283"/>
      <c r="H66" s="2284"/>
      <c r="I66" s="2278"/>
      <c r="J66" s="3620"/>
      <c r="K66" s="3265" t="s">
        <v>2992</v>
      </c>
      <c r="L66" s="3263">
        <f ca="1">M49*0.5%</f>
        <v>85.564999999999998</v>
      </c>
      <c r="M66" s="313">
        <f ca="1">IF(L66&gt;0.5,0.5,ROUND(L66,0))</f>
        <v>0.5</v>
      </c>
      <c r="N66" s="469" t="s">
        <v>2998</v>
      </c>
      <c r="Z66" s="1434"/>
      <c r="AI66" s="1244"/>
    </row>
    <row r="67" spans="1:35" ht="14.25" hidden="1" customHeight="1">
      <c r="A67" s="535" t="s">
        <v>1895</v>
      </c>
      <c r="B67" s="536" t="s">
        <v>315</v>
      </c>
      <c r="C67" s="539">
        <f ca="1">C63-C66</f>
        <v>16298</v>
      </c>
      <c r="D67" s="532" t="s">
        <v>165</v>
      </c>
      <c r="E67" s="533"/>
      <c r="F67" s="2283"/>
      <c r="G67" s="2283"/>
      <c r="H67" s="2284"/>
      <c r="I67" s="2278"/>
      <c r="J67" s="3620"/>
      <c r="K67" s="3265" t="s">
        <v>2993</v>
      </c>
      <c r="L67" s="3263">
        <f ca="1">IF(M49&gt;=10000,(8.25+(M49-10000)*0.01%),IF(AND(M49&gt;=8000,M49&lt;10000),(7.85+(M49-8000)*0.02%),IF(AND(M49&gt;=5000,M49&lt;8000),(6.65+(M49-5000)*0.04%),IF(AND(M49&gt;=2000,M49&lt;5000),(4.25+(PM49-2000)*0.08%),IF(AND(M49&gt;=1000,M49&lt;2000),(2.75+(M49-1000)*0.15%),IF(AND(M49&gt;=100,M49&lt;1000),(0.5+(M49-100)*0.25%),IF(AND(M49&gt;0,M49&lt;100),M49*0.5%)))))))</f>
        <v>8.9612999999999996</v>
      </c>
      <c r="M67" s="313">
        <f ca="1">ROUND(L67*0.9,1)</f>
        <v>8.1</v>
      </c>
      <c r="Z67" s="1434"/>
      <c r="AI67" s="1244"/>
    </row>
    <row r="68" spans="1:35" ht="14.25" hidden="1" customHeight="1" thickBot="1">
      <c r="A68" s="540" t="s">
        <v>1896</v>
      </c>
      <c r="B68" s="541" t="s">
        <v>316</v>
      </c>
      <c r="C68" s="542">
        <f ca="1">IF(C67&lt;=0,0,ROUND(C67*D68,0))</f>
        <v>872</v>
      </c>
      <c r="D68" s="543">
        <f>'数据-取费表'!B41</f>
        <v>5.3500000000000006E-2</v>
      </c>
      <c r="E68" s="544"/>
      <c r="F68" s="2283"/>
      <c r="G68" s="2283"/>
      <c r="H68" s="2284"/>
      <c r="I68" s="2278"/>
      <c r="J68" s="3620"/>
      <c r="K68" s="3265" t="s">
        <v>2994</v>
      </c>
      <c r="L68" s="3263">
        <f ca="1">IF(M49&gt;10000,M49*0.5%,IF(AND(M49&gt;5000,M49&lt;=10000),M49*1%,IF(AND(M49&gt;1000,M49&lt;=5000),M49*2%,IF(AND(M49&gt;200,M49&lt;=1000),M49*3%,M49*5%))))</f>
        <v>85.564999999999998</v>
      </c>
      <c r="M68" s="313">
        <f ca="1">ROUND(L68,1)</f>
        <v>85.6</v>
      </c>
      <c r="Z68" s="1434"/>
      <c r="AI68" s="1244"/>
    </row>
    <row r="69" spans="1:35" s="1245" customFormat="1" ht="16.5" hidden="1" customHeight="1">
      <c r="A69" s="1259"/>
      <c r="B69" s="1260"/>
      <c r="C69" s="1261"/>
      <c r="D69" s="1262"/>
      <c r="E69" s="1263"/>
      <c r="F69" s="229"/>
      <c r="G69" s="229"/>
      <c r="H69" s="241"/>
      <c r="I69" s="1243"/>
      <c r="J69" s="3620"/>
      <c r="K69" s="3265" t="s">
        <v>185</v>
      </c>
      <c r="L69" s="3264"/>
      <c r="M69" s="313">
        <f ca="1">ROUND(SUM(M63:M68),0)</f>
        <v>283</v>
      </c>
      <c r="N69" s="3266">
        <f ca="1">M69/M49</f>
        <v>1.6537135511015016E-2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74" t="s">
        <v>317</v>
      </c>
      <c r="B70" s="3575"/>
      <c r="C70" s="3575"/>
      <c r="D70" s="3575"/>
      <c r="E70" s="3575"/>
      <c r="F70" s="3575"/>
      <c r="G70" s="3575"/>
      <c r="H70" s="3575"/>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551" t="s">
        <v>310</v>
      </c>
      <c r="B71" s="3552"/>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1897</v>
      </c>
      <c r="B72" s="536" t="s">
        <v>320</v>
      </c>
      <c r="C72" s="539">
        <f ca="1">ROUND(D45/(1+'数据-取费表'!C42),0)</f>
        <v>16298</v>
      </c>
      <c r="D72" s="532" t="s">
        <v>165</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1894</v>
      </c>
      <c r="B73" s="505" t="s">
        <v>321</v>
      </c>
      <c r="C73" s="539">
        <f ca="1">C74+C78</f>
        <v>57</v>
      </c>
      <c r="D73" s="532" t="s">
        <v>165</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1898</v>
      </c>
      <c r="B74" s="530" t="s">
        <v>322</v>
      </c>
      <c r="C74" s="532">
        <f>ROUND(IF(G77="2016年5月1日后购买",C75/(1+'数据-取费表'!C42)+C76+C77,C75+C76+C77),0)</f>
        <v>0</v>
      </c>
      <c r="D74" s="532" t="s">
        <v>165</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1899</v>
      </c>
      <c r="B75" s="530" t="s">
        <v>323</v>
      </c>
      <c r="C75" s="550"/>
      <c r="D75" s="532" t="s">
        <v>165</v>
      </c>
      <c r="E75" s="551" t="s">
        <v>324</v>
      </c>
      <c r="F75" s="1427" t="s">
        <v>2413</v>
      </c>
      <c r="G75" s="551" t="s">
        <v>794</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1901</v>
      </c>
      <c r="B76" s="553" t="s">
        <v>325</v>
      </c>
      <c r="C76" s="532">
        <f>IF(F75="购房发票",ROUND(C75*H75*D76,0),0)</f>
        <v>0</v>
      </c>
      <c r="D76" s="554">
        <v>0.05</v>
      </c>
      <c r="E76" s="3546" t="s">
        <v>326</v>
      </c>
      <c r="F76" s="3521"/>
      <c r="G76" s="3521"/>
      <c r="H76" s="3573"/>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1902</v>
      </c>
      <c r="B77" s="530" t="s">
        <v>327</v>
      </c>
      <c r="C77" s="532">
        <f>ROUND(IF(G77="个人住宅",0,IF(G77="2016年5月1日前购买",C75*D77,C75*D77/(1+'数据-取费表'!C42))),0)</f>
        <v>0</v>
      </c>
      <c r="D77" s="555">
        <f>'数据-取费表'!B48+'数据-取费表'!B49</f>
        <v>0</v>
      </c>
      <c r="E77" s="303" t="s">
        <v>795</v>
      </c>
      <c r="F77" s="556"/>
      <c r="G77" s="1428" t="s">
        <v>2504</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1900</v>
      </c>
      <c r="B78" s="530" t="s">
        <v>328</v>
      </c>
      <c r="C78" s="557">
        <f ca="1">ROUND(D45*D78/(1+'数据-取费表'!C42),0)</f>
        <v>57</v>
      </c>
      <c r="D78" s="558">
        <f>'数据-取费表'!B43</f>
        <v>3.5000000000000005E-3</v>
      </c>
      <c r="E78" s="3541" t="s">
        <v>2505</v>
      </c>
      <c r="F78" s="3532"/>
      <c r="G78" s="3532"/>
      <c r="H78" s="3542"/>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1903</v>
      </c>
      <c r="B79" s="536" t="s">
        <v>329</v>
      </c>
      <c r="C79" s="539">
        <f ca="1">C72-C73</f>
        <v>16241</v>
      </c>
      <c r="D79" s="532" t="s">
        <v>165</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1904</v>
      </c>
      <c r="B80" s="536" t="s">
        <v>330</v>
      </c>
      <c r="C80" s="559">
        <f ca="1">IF(C79&lt;=0,0,C79/C73)</f>
        <v>284.92982456140351</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1905</v>
      </c>
      <c r="B81" s="541" t="s">
        <v>331</v>
      </c>
      <c r="C81" s="560">
        <f ca="1">ROUND(IF(C79&lt;=0,0,IF(C80&gt;=200%,C79*60%-C73*35%,IF(C80&gt;=100%,C79*50%-C73*15%,IF(C80&gt;=50%,C79*40%-C73*5%,IF(C80&lt;50%,C79*30%,0))))),0)</f>
        <v>9725</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74" t="s">
        <v>332</v>
      </c>
      <c r="B83" s="3575"/>
      <c r="C83" s="3575"/>
      <c r="D83" s="3575"/>
      <c r="E83" s="3575"/>
      <c r="F83" s="3575"/>
      <c r="G83" s="3575"/>
      <c r="H83" s="3575"/>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551" t="s">
        <v>310</v>
      </c>
      <c r="B84" s="3552"/>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1897</v>
      </c>
      <c r="B85" s="536" t="s">
        <v>320</v>
      </c>
      <c r="C85" s="539">
        <f ca="1">ROUND(D45/(1+'数据-取费表'!C42),0)</f>
        <v>16298</v>
      </c>
      <c r="D85" s="532" t="s">
        <v>165</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1894</v>
      </c>
      <c r="B86" s="505" t="s">
        <v>321</v>
      </c>
      <c r="C86" s="539">
        <f ca="1">IF(H88="仅含出让金",C87+C90+C91+C92+C93+C94,C87+C91+C92+C93+C94)</f>
        <v>57</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1898</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1899</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1901</v>
      </c>
      <c r="B89" s="530" t="s">
        <v>327</v>
      </c>
      <c r="C89" s="557">
        <f>ROUND(C88*D89,0)</f>
        <v>0</v>
      </c>
      <c r="D89" s="558">
        <f>'数据-取费表'!B48+'数据-取费表'!B49</f>
        <v>0</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1900</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1906</v>
      </c>
      <c r="B91" s="530" t="s">
        <v>339</v>
      </c>
      <c r="C91" s="557">
        <f>IF(H91="——",成本法!C33,I91)</f>
        <v>0</v>
      </c>
      <c r="D91" s="558"/>
      <c r="E91" s="3531" t="s">
        <v>796</v>
      </c>
      <c r="F91" s="3532"/>
      <c r="G91" s="3532"/>
      <c r="H91" s="1430" t="s">
        <v>2314</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1907</v>
      </c>
      <c r="B92" s="530" t="s">
        <v>340</v>
      </c>
      <c r="C92" s="557">
        <f>ROUND((C87+C90+C91)*D92,0)</f>
        <v>0</v>
      </c>
      <c r="D92" s="558">
        <v>0.1</v>
      </c>
      <c r="E92" s="3531" t="s">
        <v>341</v>
      </c>
      <c r="F92" s="3532"/>
      <c r="G92" s="3532"/>
      <c r="H92" s="3542"/>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1908</v>
      </c>
      <c r="B93" s="530" t="s">
        <v>328</v>
      </c>
      <c r="C93" s="557">
        <f ca="1">ROUND(D45*D93/(1+'数据-取费表'!C42),0)</f>
        <v>57</v>
      </c>
      <c r="D93" s="558">
        <f>'数据-取费表'!B43</f>
        <v>3.5000000000000005E-3</v>
      </c>
      <c r="E93" s="3541" t="s">
        <v>2505</v>
      </c>
      <c r="F93" s="3532"/>
      <c r="G93" s="3532"/>
      <c r="H93" s="3542"/>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1909</v>
      </c>
      <c r="B94" s="530" t="s">
        <v>342</v>
      </c>
      <c r="C94" s="568">
        <f>ROUND((C87+C90+C91)*D94,0)</f>
        <v>0</v>
      </c>
      <c r="D94" s="558">
        <v>0.2</v>
      </c>
      <c r="E94" s="3543" t="s">
        <v>3050</v>
      </c>
      <c r="F94" s="3544"/>
      <c r="G94" s="3544"/>
      <c r="H94" s="3545"/>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1903</v>
      </c>
      <c r="B95" s="536" t="s">
        <v>329</v>
      </c>
      <c r="C95" s="539">
        <f ca="1">ROUND(C85-C86,0)</f>
        <v>16241</v>
      </c>
      <c r="D95" s="532" t="s">
        <v>165</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1904</v>
      </c>
      <c r="B96" s="536" t="s">
        <v>330</v>
      </c>
      <c r="C96" s="559">
        <f ca="1">IF(C95&lt;=0,0,C95/C86)</f>
        <v>284.92982456140351</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1905</v>
      </c>
      <c r="B97" s="541" t="s">
        <v>331</v>
      </c>
      <c r="C97" s="560">
        <f ca="1">ROUND(IF(C95&lt;=0,0,IF(C96&gt;=200%,C95*60%-C86*35%,IF(C96&gt;=100%,C95*50%-C86*15%,IF(C96&gt;=50%,C95*40%-C86*5%,IF(C96&lt;50%,C95*30%,0))))),0)</f>
        <v>9725</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hidden="1" customHeight="1" thickBot="1">
      <c r="A99" s="1252" t="s">
        <v>227</v>
      </c>
      <c r="B99" s="1243"/>
      <c r="C99" s="1243"/>
      <c r="D99" s="1243"/>
      <c r="E99" s="229"/>
      <c r="F99" s="229"/>
      <c r="G99" s="229"/>
      <c r="H99" s="241"/>
      <c r="I99" s="2278"/>
    </row>
    <row r="100" spans="1:35" ht="18.75" hidden="1" customHeight="1">
      <c r="A100" s="3515" t="s">
        <v>228</v>
      </c>
      <c r="B100" s="3516"/>
      <c r="C100" s="3516"/>
      <c r="D100" s="3533"/>
      <c r="E100" s="3516" t="s">
        <v>2901</v>
      </c>
      <c r="F100" s="3516"/>
      <c r="G100" s="3516"/>
      <c r="H100" s="3533"/>
      <c r="I100" s="2278"/>
    </row>
    <row r="101" spans="1:35" ht="18.75" hidden="1" customHeight="1">
      <c r="A101" s="3599" t="s">
        <v>206</v>
      </c>
      <c r="B101" s="3600"/>
      <c r="C101" s="1266" t="str">
        <f>C4</f>
        <v>典型户型修正</v>
      </c>
      <c r="D101" s="1267" t="str">
        <f>D4</f>
        <v>收益法（汇总）</v>
      </c>
      <c r="E101" s="3617" t="s">
        <v>1911</v>
      </c>
      <c r="F101" s="3566"/>
      <c r="G101" s="1268" t="s">
        <v>208</v>
      </c>
      <c r="H101" s="1986">
        <f ca="1">H118</f>
        <v>17113</v>
      </c>
      <c r="I101" s="2278"/>
    </row>
    <row r="102" spans="1:35" ht="18.75" hidden="1" customHeight="1">
      <c r="A102" s="3568" t="s">
        <v>207</v>
      </c>
      <c r="B102" s="1268" t="s">
        <v>208</v>
      </c>
      <c r="C102" s="1235">
        <f ca="1">C19</f>
        <v>19541</v>
      </c>
      <c r="D102" s="1236">
        <f ca="1">D19</f>
        <v>13472</v>
      </c>
      <c r="E102" s="3617"/>
      <c r="F102" s="3566"/>
      <c r="G102" s="1268" t="s">
        <v>209</v>
      </c>
      <c r="H102" s="711" t="e">
        <f ca="1">I118</f>
        <v>#DIV/0!</v>
      </c>
      <c r="I102" s="2278"/>
    </row>
    <row r="103" spans="1:35" ht="42.75" hidden="1" customHeight="1">
      <c r="A103" s="3568"/>
      <c r="B103" s="1268" t="s">
        <v>209</v>
      </c>
      <c r="C103" s="1237">
        <f ca="1">C20</f>
        <v>57670</v>
      </c>
      <c r="D103" s="1238">
        <f ca="1">D20</f>
        <v>39144</v>
      </c>
      <c r="E103" s="3612" t="s">
        <v>3011</v>
      </c>
      <c r="F103" s="3613"/>
      <c r="G103" s="1269" t="s">
        <v>211</v>
      </c>
      <c r="H103" s="1986">
        <f>IF(D36="正常操作",H104+H105+H106,H105+H106)</f>
        <v>0</v>
      </c>
      <c r="I103" s="2278"/>
    </row>
    <row r="104" spans="1:35" ht="18.75" hidden="1" customHeight="1">
      <c r="A104" s="3568" t="s">
        <v>210</v>
      </c>
      <c r="B104" s="1270" t="s">
        <v>208</v>
      </c>
      <c r="C104" s="1239">
        <f ca="1">H118</f>
        <v>17113</v>
      </c>
      <c r="D104" s="1240"/>
      <c r="E104" s="13" t="s">
        <v>1910</v>
      </c>
      <c r="F104" s="6"/>
      <c r="G104" s="1269" t="s">
        <v>211</v>
      </c>
      <c r="H104" s="1987">
        <f>IF(D36="同一抵押权人同一抵押物续贷",C36&amp;"（未扣减，详见特别提示）",C36)</f>
        <v>0</v>
      </c>
      <c r="I104" s="2278"/>
    </row>
    <row r="105" spans="1:35" ht="18.75" hidden="1" customHeight="1" thickBot="1">
      <c r="A105" s="3569"/>
      <c r="B105" s="1271" t="s">
        <v>209</v>
      </c>
      <c r="C105" s="1241" t="e">
        <f ca="1">I118</f>
        <v>#DIV/0!</v>
      </c>
      <c r="D105" s="1242"/>
      <c r="E105" s="13" t="s">
        <v>1912</v>
      </c>
      <c r="F105" s="6"/>
      <c r="G105" s="1269" t="s">
        <v>211</v>
      </c>
      <c r="H105" s="1987">
        <f>C37</f>
        <v>0</v>
      </c>
      <c r="I105" s="2278"/>
    </row>
    <row r="106" spans="1:35" ht="18.75" hidden="1" customHeight="1">
      <c r="A106" s="1243" t="s">
        <v>2004</v>
      </c>
      <c r="B106" s="1243"/>
      <c r="C106" s="1243"/>
      <c r="D106" s="1243"/>
      <c r="E106" s="467" t="s">
        <v>1913</v>
      </c>
      <c r="F106" s="6"/>
      <c r="G106" s="1269" t="s">
        <v>211</v>
      </c>
      <c r="H106" s="1987">
        <f>C38</f>
        <v>0</v>
      </c>
      <c r="I106" s="2278"/>
    </row>
    <row r="107" spans="1:35" ht="18.75" hidden="1" customHeight="1">
      <c r="A107" s="2278"/>
      <c r="B107" s="2278"/>
      <c r="C107" s="2278"/>
      <c r="D107" s="2278"/>
      <c r="E107" s="3565" t="str">
        <f>IF(项目基本情况!E8="已注销","——","3.房地产抵押价值")</f>
        <v>3.房地产抵押价值</v>
      </c>
      <c r="F107" s="3566"/>
      <c r="G107" s="1268" t="s">
        <v>208</v>
      </c>
      <c r="H107" s="1986">
        <f ca="1">IF(E107="——","——",H101-H103)</f>
        <v>17113</v>
      </c>
      <c r="I107" s="2278"/>
    </row>
    <row r="108" spans="1:35" ht="18.75" hidden="1" customHeight="1">
      <c r="A108" s="2278"/>
      <c r="B108" s="2278"/>
      <c r="C108" s="2278"/>
      <c r="D108" s="2278"/>
      <c r="E108" s="3565"/>
      <c r="F108" s="3566"/>
      <c r="G108" s="1268" t="s">
        <v>209</v>
      </c>
      <c r="H108" s="711">
        <f ca="1">ROUND(H107*10000/'数据-汇总表'!E3,0)</f>
        <v>49723</v>
      </c>
      <c r="I108" s="2278"/>
    </row>
    <row r="109" spans="1:35" ht="18.75" hidden="1" customHeight="1">
      <c r="A109" s="2278"/>
      <c r="B109" s="2278"/>
      <c r="C109" s="2278"/>
      <c r="D109" s="2278"/>
      <c r="E109" s="3565" t="str">
        <f>IF(项目基本情况!E8="已注销及未注销","4.抵押担保权已注销时的房地产抵押价值",IF(项目基本情况!E8="已注销","3.抵押担保权已注销时的房地产抵押价值","——"))</f>
        <v>——</v>
      </c>
      <c r="F109" s="3566"/>
      <c r="G109" s="1268" t="s">
        <v>208</v>
      </c>
      <c r="H109" s="685" t="str">
        <f>IF(E109="——","——",H101-H105-H106)</f>
        <v>——</v>
      </c>
      <c r="I109" s="2278"/>
    </row>
    <row r="110" spans="1:35" ht="18.75" hidden="1" customHeight="1">
      <c r="A110" s="2278"/>
      <c r="B110" s="2278"/>
      <c r="C110" s="2278"/>
      <c r="D110" s="2278"/>
      <c r="E110" s="3565"/>
      <c r="F110" s="3566"/>
      <c r="G110" s="1268" t="s">
        <v>209</v>
      </c>
      <c r="H110" s="711" t="str">
        <f>IF(H109="——","——",ROUND(H109*10000/'数据-汇总表'!E3,0))</f>
        <v>——</v>
      </c>
      <c r="I110" s="2278"/>
    </row>
    <row r="111" spans="1:35" ht="18.75" hidden="1" customHeight="1">
      <c r="A111" s="2278"/>
      <c r="B111" s="2278"/>
      <c r="C111" s="2278"/>
      <c r="D111" s="2278"/>
      <c r="E111" s="3602" t="str">
        <f>IF(项目基本情况!E9="抵押净值",IF(OR(项目基本情况!E8="已注销",项目基本情况!E8="房地产抵押价值"),"4.抵押净值","5.抵押净值"),"——")</f>
        <v>——</v>
      </c>
      <c r="F111" s="3603"/>
      <c r="G111" s="1268" t="s">
        <v>208</v>
      </c>
      <c r="H111" s="1986" t="str">
        <f>IF(E111="——","——",N59)</f>
        <v>——</v>
      </c>
      <c r="I111" s="2278"/>
    </row>
    <row r="112" spans="1:35" ht="18.75" hidden="1" customHeight="1" thickBot="1">
      <c r="A112" s="2278"/>
      <c r="B112" s="2278"/>
      <c r="C112" s="2278"/>
      <c r="D112" s="2278"/>
      <c r="E112" s="3604"/>
      <c r="F112" s="3605"/>
      <c r="G112" s="1272" t="s">
        <v>209</v>
      </c>
      <c r="H112" s="1423" t="str">
        <f>IF(E111="——","——",N61)</f>
        <v>——</v>
      </c>
      <c r="I112" s="2278"/>
    </row>
    <row r="113" spans="1:11" ht="18.75" hidden="1" customHeight="1">
      <c r="A113" s="2278"/>
      <c r="B113" s="2278"/>
      <c r="C113" s="2278"/>
      <c r="D113" s="2278"/>
      <c r="E113" s="3570" t="s">
        <v>2004</v>
      </c>
      <c r="F113" s="3570"/>
      <c r="G113" s="3570"/>
      <c r="H113" s="3570"/>
      <c r="I113" s="2278"/>
    </row>
    <row r="114" spans="1:11" ht="3.75" hidden="1" customHeight="1">
      <c r="A114" s="1243"/>
      <c r="B114" s="1243"/>
      <c r="C114" s="1243"/>
      <c r="D114" s="1243"/>
      <c r="E114" s="1258"/>
      <c r="F114" s="1258"/>
      <c r="G114" s="1258"/>
      <c r="H114" s="1258"/>
      <c r="I114" s="1243"/>
    </row>
    <row r="115" spans="1:11" ht="18.75" customHeight="1">
      <c r="A115" s="3584" t="s">
        <v>224</v>
      </c>
      <c r="B115" s="3585"/>
      <c r="C115" s="3585"/>
      <c r="D115" s="3585"/>
      <c r="E115" s="3585"/>
      <c r="F115" s="3585"/>
      <c r="G115" s="3585"/>
      <c r="H115" s="3585"/>
      <c r="I115" s="3586"/>
    </row>
    <row r="116" spans="1:11" ht="27" customHeight="1">
      <c r="A116" s="3473" t="s">
        <v>5</v>
      </c>
      <c r="B116" s="3571" t="s">
        <v>785</v>
      </c>
      <c r="C116" s="3571" t="s">
        <v>786</v>
      </c>
      <c r="D116" s="3588" t="s">
        <v>204</v>
      </c>
      <c r="E116" s="3589"/>
      <c r="F116" s="3580" t="s">
        <v>2382</v>
      </c>
      <c r="G116" s="3580"/>
      <c r="H116" s="3473" t="s">
        <v>6</v>
      </c>
      <c r="I116" s="3473"/>
    </row>
    <row r="117" spans="1:11" ht="18.75" customHeight="1">
      <c r="A117" s="3473"/>
      <c r="B117" s="3572"/>
      <c r="C117" s="3572"/>
      <c r="D117" s="1915" t="s">
        <v>7</v>
      </c>
      <c r="E117" s="1915" t="s">
        <v>787</v>
      </c>
      <c r="F117" s="1915" t="s">
        <v>7</v>
      </c>
      <c r="G117" s="1915" t="s">
        <v>8</v>
      </c>
      <c r="H117" s="1915" t="s">
        <v>7</v>
      </c>
      <c r="I117" s="1915" t="s">
        <v>8</v>
      </c>
    </row>
    <row r="118" spans="1:11" ht="24.75" customHeight="1">
      <c r="A118" s="2033" t="str">
        <f>项目基本情况!S2</f>
        <v>北京市海淀区金夕园甲1号三段-1至3层商业用房房地产房地产</v>
      </c>
      <c r="B118" s="1920">
        <f>M18</f>
        <v>0</v>
      </c>
      <c r="C118" s="1920">
        <f>M19</f>
        <v>0</v>
      </c>
      <c r="D118" s="1920">
        <f ca="1">ROUND(IF(D32="总价",C34,E118*B118/10000),0)</f>
        <v>14820</v>
      </c>
      <c r="E118" s="1920" t="e">
        <f ca="1">ROUND(IF(C33="自定义",IF(D32="楼面单价",C34,D118*10000/B118),I118-G118),0)</f>
        <v>#DIV/0!</v>
      </c>
      <c r="F118" s="1920">
        <f ca="1">ROUND(IF(D32="总价",C35,G118*B118/10000),0)</f>
        <v>2293</v>
      </c>
      <c r="G118" s="1920" t="e">
        <f ca="1">ROUND(IF(D32="楼面单价",C35,F118*10000/B118),0)</f>
        <v>#DIV/0!</v>
      </c>
      <c r="H118" s="1920">
        <f ca="1">ROUND(IF(D32="总价",C32,I118*B118/10000),0)</f>
        <v>17113</v>
      </c>
      <c r="I118" s="1920" t="e">
        <f ca="1">ROUND(IF(D32="楼面单价",C32,H118*10000/B118),0)</f>
        <v>#DIV/0!</v>
      </c>
    </row>
    <row r="119" spans="1:11" ht="18.75" customHeight="1">
      <c r="A119" s="3473" t="s">
        <v>9</v>
      </c>
      <c r="B119" s="3473"/>
      <c r="C119" s="3473"/>
      <c r="D119" s="3577" t="str">
        <f ca="1">NUMBERSTRING(INT(D118*10000),2)&amp;"元整"</f>
        <v>壹亿肆仟捌佰贰拾万元整</v>
      </c>
      <c r="E119" s="3579"/>
      <c r="F119" s="3577" t="str">
        <f ca="1">NUMBERSTRING(INT(F118*10000),2)&amp;"元整"</f>
        <v>贰仟贰佰玖拾叁万元整</v>
      </c>
      <c r="G119" s="3579"/>
      <c r="H119" s="3577" t="str">
        <f ca="1">NUMBERSTRING(INT(H118*10000),2)&amp;"元整"</f>
        <v>壹亿柒仟壹佰壹拾叁万元整</v>
      </c>
      <c r="I119" s="3579"/>
    </row>
    <row r="120" spans="1:11" ht="18.75" customHeight="1">
      <c r="A120" s="3609" t="str">
        <f>IF(项目基本情况!B9="房地产市场价值","",MID(E103,3,LEN(E103)-2))</f>
        <v>估价师知悉的法定优先受偿款</v>
      </c>
      <c r="B120" s="3610"/>
      <c r="C120" s="3611"/>
      <c r="D120" s="3606">
        <f>H103</f>
        <v>0</v>
      </c>
      <c r="E120" s="3607"/>
      <c r="F120" s="3607"/>
      <c r="G120" s="3607"/>
      <c r="H120" s="3607"/>
      <c r="I120" s="3608"/>
      <c r="K120" s="1434" t="str">
        <f>IF(D120=0,"故，本次评估不存在"&amp;A120,"故，本次评估"&amp;A120&amp;"为人民币"&amp;D120&amp;"万元整。")</f>
        <v>故，本次评估不存在估价师知悉的法定优先受偿款</v>
      </c>
    </row>
    <row r="121" spans="1:11" ht="18.75" customHeight="1">
      <c r="A121" s="3581" t="s">
        <v>9</v>
      </c>
      <c r="B121" s="3582"/>
      <c r="C121" s="3583"/>
      <c r="D121" s="3577" t="str">
        <f>IF(D120=0,"零元整",NUMBERSTRING(INT(D120*10000),2)&amp;"元整")</f>
        <v>零元整</v>
      </c>
      <c r="E121" s="3578"/>
      <c r="F121" s="3578"/>
      <c r="G121" s="3578"/>
      <c r="H121" s="3578"/>
      <c r="I121" s="3579"/>
    </row>
    <row r="122" spans="1:11" ht="18.75" customHeight="1">
      <c r="A122" s="3567" t="str">
        <f>IF(项目基本情况!B9="房地产市场价值","",MID(E107,3,LEN(E107)-2))</f>
        <v>房地产抵押价值</v>
      </c>
      <c r="B122" s="3567"/>
      <c r="C122" s="3567"/>
      <c r="D122" s="3606">
        <f ca="1">H107</f>
        <v>17113</v>
      </c>
      <c r="E122" s="3607"/>
      <c r="F122" s="3607"/>
      <c r="G122" s="3607"/>
      <c r="H122" s="3607"/>
      <c r="I122" s="3608"/>
    </row>
    <row r="123" spans="1:11" ht="18.75" customHeight="1">
      <c r="A123" s="3473" t="s">
        <v>9</v>
      </c>
      <c r="B123" s="3473"/>
      <c r="C123" s="3473"/>
      <c r="D123" s="3577" t="str">
        <f ca="1">NUMBERSTRING(INT(D122*10000),2)&amp;"元整"</f>
        <v>壹亿柒仟壹佰壹拾叁万元整</v>
      </c>
      <c r="E123" s="3578"/>
      <c r="F123" s="3578"/>
      <c r="G123" s="3578"/>
      <c r="H123" s="3578"/>
      <c r="I123" s="3579"/>
    </row>
    <row r="124" spans="1:11" ht="18.75" hidden="1" customHeight="1">
      <c r="A124" s="3567" t="str">
        <f>IF(项目基本情况!B9="房地产市场价值","",MID(E109,3,LEN(E109)-2))</f>
        <v/>
      </c>
      <c r="B124" s="3567"/>
      <c r="C124" s="3567"/>
      <c r="D124" s="3606" t="str">
        <f>H109</f>
        <v>——</v>
      </c>
      <c r="E124" s="3607"/>
      <c r="F124" s="3607"/>
      <c r="G124" s="3607"/>
      <c r="H124" s="3607"/>
      <c r="I124" s="3608"/>
    </row>
    <row r="125" spans="1:11" ht="18.75" hidden="1" customHeight="1">
      <c r="A125" s="3473" t="s">
        <v>9</v>
      </c>
      <c r="B125" s="3473"/>
      <c r="C125" s="3473"/>
      <c r="D125" s="3577" t="e">
        <f>NUMBERSTRING(INT(D124*10000),2)&amp;"元整"</f>
        <v>#VALUE!</v>
      </c>
      <c r="E125" s="3578"/>
      <c r="F125" s="3578"/>
      <c r="G125" s="3578"/>
      <c r="H125" s="3578"/>
      <c r="I125" s="3579"/>
    </row>
    <row r="126" spans="1:11" ht="18.75" hidden="1" customHeight="1">
      <c r="A126" s="3567" t="str">
        <f>IF(项目基本情况!B9="房地产市场价值","",MID(E111,3,LEN(E111)-2))</f>
        <v/>
      </c>
      <c r="B126" s="3567"/>
      <c r="C126" s="3567"/>
      <c r="D126" s="3606" t="str">
        <f>H111</f>
        <v>——</v>
      </c>
      <c r="E126" s="3607"/>
      <c r="F126" s="3607"/>
      <c r="G126" s="3607"/>
      <c r="H126" s="3607"/>
      <c r="I126" s="3608"/>
    </row>
    <row r="127" spans="1:11" ht="18.75" hidden="1" customHeight="1">
      <c r="A127" s="3473" t="s">
        <v>9</v>
      </c>
      <c r="B127" s="3473"/>
      <c r="C127" s="3473"/>
      <c r="D127" s="3577" t="e">
        <f>NUMBERSTRING(INT(D126*10000),2)&amp;"元整"</f>
        <v>#VALUE!</v>
      </c>
      <c r="E127" s="3578"/>
      <c r="F127" s="3578"/>
      <c r="G127" s="3578"/>
      <c r="H127" s="3578"/>
      <c r="I127" s="3579"/>
    </row>
    <row r="128" spans="1:11" ht="21.75" hidden="1" customHeight="1">
      <c r="A128" s="3587" t="s">
        <v>2003</v>
      </c>
      <c r="B128" s="3587"/>
      <c r="C128" s="3587"/>
      <c r="D128" s="3587"/>
      <c r="E128" s="3587"/>
      <c r="F128" s="3587"/>
      <c r="G128" s="3587"/>
      <c r="H128" s="3587"/>
      <c r="I128" s="3587"/>
    </row>
    <row r="129" spans="1:35" ht="21.75" customHeight="1">
      <c r="A129" s="2028" t="s">
        <v>788</v>
      </c>
      <c r="B129" s="2029"/>
      <c r="C129" s="468" t="s">
        <v>148</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789</v>
      </c>
      <c r="G135" s="1448"/>
      <c r="H135" s="1448"/>
      <c r="I135" s="1449" t="s">
        <v>790</v>
      </c>
    </row>
    <row r="136" spans="1:35" ht="21.75" customHeight="1">
      <c r="A136" s="1446"/>
      <c r="B136" s="1450" t="s">
        <v>791</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792</v>
      </c>
    </row>
    <row r="139" spans="1:35" ht="21.75" customHeight="1">
      <c r="A139" s="1446"/>
      <c r="B139" s="1450" t="s">
        <v>793</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792</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53"/>
      <c r="C1" s="574"/>
      <c r="D1" s="574"/>
      <c r="E1" s="574"/>
      <c r="F1" s="574"/>
      <c r="G1" s="2754">
        <f>MATCH(B1,'数据-取费表'!A6:A16,0)+5</f>
        <v>8</v>
      </c>
    </row>
    <row r="2" spans="1:9" s="576" customFormat="1" ht="18" customHeight="1">
      <c r="A2" s="577" t="s">
        <v>444</v>
      </c>
      <c r="B2" s="578">
        <f ca="1">IF(D2="——",C52,C52-E2)</f>
        <v>1508</v>
      </c>
      <c r="C2" s="85" t="s">
        <v>867</v>
      </c>
      <c r="D2" s="2871" t="s">
        <v>528</v>
      </c>
      <c r="E2" s="2869" t="e">
        <f ca="1">SUMIF(INDIRECT("'"&amp;G2&amp;"'"&amp;"!A:A"),"承租人权益价值",INDIRECT("'"&amp;G2&amp;"'"&amp;"!c:c"))</f>
        <v>#REF!</v>
      </c>
      <c r="F2" s="2867" t="s">
        <v>867</v>
      </c>
      <c r="G2" s="2870"/>
    </row>
    <row r="3" spans="1:9" s="576" customFormat="1" ht="18" customHeight="1" thickBot="1">
      <c r="A3" s="579" t="s">
        <v>445</v>
      </c>
      <c r="B3" s="580">
        <f ca="1">ROUND(B2*10000/(IF(B1="",'数据-汇总表'!E3,INDIRECT("'数据-取费表'!k"&amp;$G$1))),0)</f>
        <v>4382</v>
      </c>
      <c r="C3" s="85" t="s">
        <v>868</v>
      </c>
      <c r="D3" s="575"/>
      <c r="E3" s="575"/>
      <c r="F3" s="575"/>
      <c r="G3" s="575"/>
    </row>
    <row r="4" spans="1:9" s="584" customFormat="1" ht="15.75">
      <c r="A4" s="581" t="s">
        <v>820</v>
      </c>
      <c r="B4" s="582"/>
      <c r="C4" s="582"/>
      <c r="D4" s="582"/>
      <c r="E4" s="582"/>
      <c r="F4" s="582"/>
      <c r="G4" s="583"/>
    </row>
    <row r="5" spans="1:9" s="590" customFormat="1" ht="13.5" customHeight="1">
      <c r="A5" s="631" t="s">
        <v>2506</v>
      </c>
      <c r="B5" s="586" t="s">
        <v>821</v>
      </c>
      <c r="C5" s="587">
        <f>C6+C7+C8</f>
        <v>200</v>
      </c>
      <c r="D5" s="587" t="s">
        <v>822</v>
      </c>
      <c r="E5" s="588" t="s">
        <v>823</v>
      </c>
      <c r="F5" s="588" t="s">
        <v>824</v>
      </c>
      <c r="G5" s="589"/>
    </row>
    <row r="6" spans="1:9" s="590" customFormat="1" ht="13.5" customHeight="1">
      <c r="A6" s="1804" t="s">
        <v>1923</v>
      </c>
      <c r="B6" s="591" t="s">
        <v>825</v>
      </c>
      <c r="C6" s="592"/>
      <c r="D6" s="593"/>
      <c r="E6" s="594"/>
      <c r="F6" s="594"/>
      <c r="G6" s="595"/>
    </row>
    <row r="7" spans="1:9" s="590" customFormat="1" ht="13.5" customHeight="1">
      <c r="A7" s="1804" t="s">
        <v>1924</v>
      </c>
      <c r="B7" s="591" t="s">
        <v>345</v>
      </c>
      <c r="C7" s="596">
        <f>ROUND(C6*F7,0)</f>
        <v>0</v>
      </c>
      <c r="D7" s="596"/>
      <c r="E7" s="594"/>
      <c r="F7" s="597">
        <f>'数据-取费表'!B48+'数据-取费表'!B49</f>
        <v>0</v>
      </c>
      <c r="G7" s="595"/>
    </row>
    <row r="8" spans="1:9" s="599" customFormat="1">
      <c r="A8" s="1804" t="s">
        <v>1925</v>
      </c>
      <c r="B8" s="591" t="s">
        <v>826</v>
      </c>
      <c r="C8" s="596">
        <f>IF(G8="已包含在土地购买价格中","0",IF(B1="",'数据-取费表'!B29,IF(G9="全部缴纳",C9+C10,H9)))</f>
        <v>200</v>
      </c>
      <c r="D8" s="598"/>
      <c r="E8" s="596"/>
      <c r="F8" s="597"/>
      <c r="G8" s="84"/>
    </row>
    <row r="9" spans="1:9" s="590" customFormat="1" ht="13.5" customHeight="1">
      <c r="A9" s="1805" t="s">
        <v>1932</v>
      </c>
      <c r="B9" s="600" t="s">
        <v>827</v>
      </c>
      <c r="C9" s="601">
        <f ca="1">ROUND(D9*E9/10000,0)</f>
        <v>0</v>
      </c>
      <c r="D9" s="1909">
        <f ca="1">IF(B1="",'数据-汇总表'!E5,IF(INDIRECT("'数据-取费表'!c"&amp;$G$1)="住宅",INDIRECT("'数据-取费表'!k"&amp;$G$1),0))</f>
        <v>0</v>
      </c>
      <c r="E9" s="601">
        <f>'数据-取费表'!B27</f>
        <v>0</v>
      </c>
      <c r="F9" s="597"/>
      <c r="G9" s="2801"/>
      <c r="H9" s="2802"/>
      <c r="I9" s="2803" t="s">
        <v>2687</v>
      </c>
    </row>
    <row r="10" spans="1:9" s="590" customFormat="1" ht="13.5" customHeight="1">
      <c r="A10" s="1805" t="s">
        <v>1933</v>
      </c>
      <c r="B10" s="600" t="s">
        <v>828</v>
      </c>
      <c r="C10" s="601">
        <f ca="1">ROUND(D10*E10/10000,0)</f>
        <v>69</v>
      </c>
      <c r="D10" s="1909">
        <f ca="1">IF(B1="",'数据-汇总表'!E6,IF(INDIRECT("'数据-取费表'!c"&amp;$G$1)="住宅",INDIRECT("'数据-取费表'!s"&amp;$G$1),INDIRECT("'数据-取费表'!k"&amp;$G$1)+INDIRECT("'数据-取费表'!s"&amp;$G$1)))</f>
        <v>3441.66</v>
      </c>
      <c r="E10" s="601">
        <f>'数据-取费表'!B28</f>
        <v>200</v>
      </c>
      <c r="F10" s="597"/>
      <c r="G10" s="602"/>
    </row>
    <row r="11" spans="1:9" s="590" customFormat="1" ht="13.5" hidden="1" customHeight="1">
      <c r="A11" s="603" t="s">
        <v>42</v>
      </c>
      <c r="B11" s="591" t="s">
        <v>829</v>
      </c>
      <c r="C11" s="587"/>
      <c r="D11" s="1911"/>
      <c r="E11" s="594"/>
      <c r="F11" s="594"/>
      <c r="G11" s="595"/>
    </row>
    <row r="12" spans="1:9" s="590" customFormat="1" ht="13.5" hidden="1" customHeight="1">
      <c r="A12" s="603" t="s">
        <v>43</v>
      </c>
      <c r="B12" s="591" t="s">
        <v>830</v>
      </c>
      <c r="C12" s="587">
        <v>0</v>
      </c>
      <c r="D12" s="1911"/>
      <c r="E12" s="604"/>
      <c r="F12" s="597">
        <v>3.0499999999999999E-2</v>
      </c>
      <c r="G12" s="595"/>
    </row>
    <row r="13" spans="1:9" s="590" customFormat="1" ht="13.5" hidden="1" customHeight="1">
      <c r="A13" s="603" t="s">
        <v>44</v>
      </c>
      <c r="B13" s="591" t="s">
        <v>831</v>
      </c>
      <c r="C13" s="587"/>
      <c r="D13" s="1911"/>
      <c r="E13" s="594"/>
      <c r="F13" s="594"/>
      <c r="G13" s="595"/>
    </row>
    <row r="14" spans="1:9" s="590" customFormat="1" ht="13.5" hidden="1" customHeight="1">
      <c r="A14" s="603" t="s">
        <v>45</v>
      </c>
      <c r="B14" s="591" t="s">
        <v>826</v>
      </c>
      <c r="C14" s="587"/>
      <c r="D14" s="1911"/>
      <c r="E14" s="594"/>
      <c r="F14" s="594"/>
      <c r="G14" s="595" t="s">
        <v>832</v>
      </c>
    </row>
    <row r="15" spans="1:9" s="590" customFormat="1" ht="13.5" hidden="1" customHeight="1">
      <c r="A15" s="603" t="s">
        <v>46</v>
      </c>
      <c r="B15" s="591" t="s">
        <v>833</v>
      </c>
      <c r="C15" s="596"/>
      <c r="D15" s="1911"/>
      <c r="E15" s="594"/>
      <c r="F15" s="594"/>
      <c r="G15" s="595" t="s">
        <v>834</v>
      </c>
    </row>
    <row r="16" spans="1:9"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2507</v>
      </c>
      <c r="B19" s="586" t="s">
        <v>845</v>
      </c>
      <c r="C19" s="587">
        <f ca="1">IF(G19="已包含在土地取得成本中","0",ROUND(D19*E19/10000,0))</f>
        <v>69</v>
      </c>
      <c r="D19" s="1913">
        <f ca="1">D9+D10</f>
        <v>3441.66</v>
      </c>
      <c r="E19" s="587">
        <f>'数据-取费表'!B31</f>
        <v>200</v>
      </c>
      <c r="F19" s="607"/>
      <c r="G19" s="84"/>
    </row>
    <row r="20" spans="1:7" s="590" customFormat="1" ht="13.5" customHeight="1">
      <c r="A20" s="1803" t="s">
        <v>2509</v>
      </c>
      <c r="B20" s="586" t="s">
        <v>838</v>
      </c>
      <c r="C20" s="608">
        <f ca="1">ROUND((C5+C19)*F20,0)</f>
        <v>5</v>
      </c>
      <c r="D20" s="608"/>
      <c r="E20" s="608"/>
      <c r="F20" s="609">
        <f>'数据-取费表'!B37</f>
        <v>0.02</v>
      </c>
      <c r="G20" s="2621" t="s">
        <v>2520</v>
      </c>
    </row>
    <row r="21" spans="1:7" s="590" customFormat="1" ht="13.5" customHeight="1">
      <c r="A21" s="1803" t="s">
        <v>2511</v>
      </c>
      <c r="B21" s="586" t="s">
        <v>839</v>
      </c>
      <c r="C21" s="611">
        <f>F21</f>
        <v>0.02</v>
      </c>
      <c r="D21" s="612" t="s">
        <v>860</v>
      </c>
      <c r="E21" s="608"/>
      <c r="F21" s="609">
        <f>'数据-取费表'!B38</f>
        <v>0.02</v>
      </c>
      <c r="G21" s="610" t="s">
        <v>840</v>
      </c>
    </row>
    <row r="22" spans="1:7" s="590" customFormat="1" ht="13.5" customHeight="1">
      <c r="A22" s="1803" t="s">
        <v>1918</v>
      </c>
      <c r="B22" s="586" t="s">
        <v>841</v>
      </c>
      <c r="C22" s="2700">
        <f ca="1">ROUND(SUM(C23:C25),0)</f>
        <v>26</v>
      </c>
      <c r="D22" s="611">
        <f ca="1">C26</f>
        <v>1E-3</v>
      </c>
      <c r="E22" s="612" t="s">
        <v>860</v>
      </c>
      <c r="F22" s="613">
        <f ca="1">'数据-取费表'!B40</f>
        <v>4.7500000000000001E-2</v>
      </c>
      <c r="G22" s="2621" t="str">
        <f>IF('数据-取费表'!B22&lt;=1,"单利计息","复利计息")</f>
        <v>复利计息</v>
      </c>
    </row>
    <row r="23" spans="1:7" s="590" customFormat="1" ht="13.5" customHeight="1">
      <c r="A23" s="1806" t="s">
        <v>1923</v>
      </c>
      <c r="B23" s="591" t="s">
        <v>2513</v>
      </c>
      <c r="C23" s="2701">
        <f ca="1">ROUND(IF('数据-取费表'!B22&lt;=1,C5*F22*'数据-取费表'!B23,C5*(POWER((1+F22),'数据-取费表'!B23)-1)),0)</f>
        <v>19</v>
      </c>
      <c r="D23" s="614"/>
      <c r="E23" s="614"/>
      <c r="F23" s="615"/>
      <c r="G23" s="616" t="s">
        <v>842</v>
      </c>
    </row>
    <row r="24" spans="1:7" s="590" customFormat="1" ht="13.5" customHeight="1">
      <c r="A24" s="1806" t="s">
        <v>1924</v>
      </c>
      <c r="B24" s="591" t="s">
        <v>2508</v>
      </c>
      <c r="C24" s="2701">
        <f ca="1">ROUND(IF('数据-取费表'!B22&lt;=1,C19*F22*('数据-取费表'!B19/2+'数据-取费表'!B21),C19*(POWER((1+F22),('数据-取费表'!B19/2+'数据-取费表'!B21))-1)),0)</f>
        <v>7</v>
      </c>
      <c r="D24" s="614"/>
      <c r="E24" s="614"/>
      <c r="F24" s="615"/>
      <c r="G24" s="616" t="s">
        <v>843</v>
      </c>
    </row>
    <row r="25" spans="1:7" s="590" customFormat="1" ht="24">
      <c r="A25" s="1806" t="s">
        <v>1925</v>
      </c>
      <c r="B25" s="591" t="s">
        <v>2510</v>
      </c>
      <c r="C25" s="2701">
        <f ca="1">ROUND(IF('数据-取费表'!B22&lt;=1,C20*F22*'数据-取费表'!B23/2,C20*(POWER((1+F22),'数据-取费表'!B23/2)-1)),0)</f>
        <v>0</v>
      </c>
      <c r="D25" s="614"/>
      <c r="E25" s="617"/>
      <c r="F25" s="615"/>
      <c r="G25" s="618" t="s">
        <v>844</v>
      </c>
    </row>
    <row r="26" spans="1:7" s="590" customFormat="1">
      <c r="A26" s="1806" t="s">
        <v>1927</v>
      </c>
      <c r="B26" s="591" t="s">
        <v>2512</v>
      </c>
      <c r="C26" s="614">
        <f ca="1">ROUND(IF('数据-取费表'!B22&lt;=1,F21*F22*'数据-取费表'!B23/2,F21*(POWER((1+F22),'数据-取费表'!B23/2)-1)),4)</f>
        <v>1E-3</v>
      </c>
      <c r="D26" s="614"/>
      <c r="E26" s="617"/>
      <c r="F26" s="615"/>
      <c r="G26" s="619"/>
    </row>
    <row r="27" spans="1:7" s="590" customFormat="1" ht="24.75">
      <c r="A27" s="1803" t="s">
        <v>1919</v>
      </c>
      <c r="B27" s="620" t="s">
        <v>846</v>
      </c>
      <c r="C27" s="621">
        <f ca="1">C28</f>
        <v>55</v>
      </c>
      <c r="D27" s="611">
        <f ca="1">C29</f>
        <v>4.0000000000000001E-3</v>
      </c>
      <c r="E27" s="612" t="s">
        <v>860</v>
      </c>
      <c r="F27" s="622">
        <f ca="1">IF(B1="",'数据-取费表'!Q16,INDIRECT("'数据-取费表'!q"&amp;$G$1))</f>
        <v>0.2</v>
      </c>
      <c r="G27" s="623" t="s">
        <v>2521</v>
      </c>
    </row>
    <row r="28" spans="1:7" s="590" customFormat="1" ht="13.5" customHeight="1">
      <c r="A28" s="1806" t="s">
        <v>1923</v>
      </c>
      <c r="B28" s="624" t="s">
        <v>2514</v>
      </c>
      <c r="C28" s="625">
        <f ca="1">ROUND((C5+C19+C20)*F27*'数据-取费表'!B21/'数据-取费表'!B20,0)</f>
        <v>55</v>
      </c>
      <c r="D28" s="611"/>
      <c r="E28" s="612"/>
      <c r="F28" s="622"/>
      <c r="G28" s="623"/>
    </row>
    <row r="29" spans="1:7" s="590" customFormat="1" ht="13.5" customHeight="1">
      <c r="A29" s="1806" t="s">
        <v>1924</v>
      </c>
      <c r="B29" s="624" t="s">
        <v>2515</v>
      </c>
      <c r="C29" s="614">
        <f ca="1">ROUND(C21*F27*'数据-取费表'!B21/'数据-取费表'!B20,4)</f>
        <v>4.0000000000000001E-3</v>
      </c>
      <c r="D29" s="611"/>
      <c r="E29" s="612"/>
      <c r="F29" s="622"/>
      <c r="G29" s="623"/>
    </row>
    <row r="30" spans="1:7" s="590" customFormat="1" ht="13.5" customHeight="1">
      <c r="A30" s="1803" t="s">
        <v>1920</v>
      </c>
      <c r="B30" s="586" t="s">
        <v>346</v>
      </c>
      <c r="C30" s="611">
        <f>ROUND(F30/(1+'数据-取费表'!C42),4)</f>
        <v>5.0999999999999997E-2</v>
      </c>
      <c r="D30" s="612" t="s">
        <v>2938</v>
      </c>
      <c r="E30" s="617"/>
      <c r="F30" s="613">
        <f>'数据-取费表'!B41</f>
        <v>5.3500000000000006E-2</v>
      </c>
      <c r="G30" s="2621" t="s">
        <v>2939</v>
      </c>
    </row>
    <row r="31" spans="1:7" ht="16.5" customHeight="1">
      <c r="A31" s="585">
        <v>1</v>
      </c>
      <c r="B31" s="586" t="s">
        <v>862</v>
      </c>
      <c r="C31" s="587">
        <f ca="1">ROUND((C5+C19+C20+C22+C27)/(1-C21-D22-D27-C30),0)</f>
        <v>384</v>
      </c>
      <c r="D31" s="606"/>
      <c r="E31" s="587"/>
      <c r="F31" s="626"/>
      <c r="G31" s="610" t="s">
        <v>2522</v>
      </c>
    </row>
    <row r="32" spans="1:7" s="584" customFormat="1" ht="15.75">
      <c r="A32" s="628" t="s">
        <v>848</v>
      </c>
      <c r="B32" s="629"/>
      <c r="C32" s="629"/>
      <c r="D32" s="629"/>
      <c r="E32" s="629"/>
      <c r="F32" s="629"/>
      <c r="G32" s="630"/>
    </row>
    <row r="33" spans="1:7" s="590" customFormat="1" ht="13.5" customHeight="1">
      <c r="A33" s="631" t="s">
        <v>1914</v>
      </c>
      <c r="B33" s="586" t="s">
        <v>849</v>
      </c>
      <c r="C33" s="632">
        <f ca="1">SUM(C34:C38)</f>
        <v>1076</v>
      </c>
      <c r="D33" s="608"/>
      <c r="E33" s="588"/>
      <c r="F33" s="617"/>
      <c r="G33" s="610"/>
    </row>
    <row r="34" spans="1:7" s="634" customFormat="1" ht="13.5" customHeight="1">
      <c r="A34" s="1806" t="s">
        <v>1923</v>
      </c>
      <c r="B34" s="591" t="s">
        <v>347</v>
      </c>
      <c r="C34" s="596">
        <f ca="1">IF(B1="",IF(F34=100%,'数据-取费表'!M16,'数据-取费表'!O16),IF(F34=100%,INDIRECT("'数据-取费表'!m"&amp;$G$1)+INDIRECT("'数据-取费表'!t"&amp;$G$1),INDIRECT("'数据-取费表'!o"&amp;$G$1)+INDIRECT("'数据-取费表'!aq"&amp;$G$1)))</f>
        <v>964</v>
      </c>
      <c r="D34" s="593"/>
      <c r="E34" s="596"/>
      <c r="F34" s="633">
        <f ca="1">IF('数据-取费表'!B24=0,1,IF(B1="",'数据-取费表'!N16,INDIRECT("'数据-取费表'!n"&amp;$G$1)))</f>
        <v>1</v>
      </c>
      <c r="G34" s="595" t="s">
        <v>850</v>
      </c>
    </row>
    <row r="35" spans="1:7" ht="13.5" customHeight="1">
      <c r="A35" s="1806" t="s">
        <v>1928</v>
      </c>
      <c r="B35" s="591" t="s">
        <v>348</v>
      </c>
      <c r="C35" s="596">
        <f ca="1">ROUND(C34*F35,0)</f>
        <v>29</v>
      </c>
      <c r="D35" s="596"/>
      <c r="E35" s="596"/>
      <c r="F35" s="635">
        <f>'数据-取费表'!B33</f>
        <v>0.03</v>
      </c>
      <c r="G35" s="595" t="s">
        <v>851</v>
      </c>
    </row>
    <row r="36" spans="1:7" ht="24">
      <c r="A36" s="1806" t="s">
        <v>1929</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350</v>
      </c>
    </row>
    <row r="37" spans="1:7" s="634" customFormat="1" ht="13.5" customHeight="1">
      <c r="A37" s="1806" t="s">
        <v>1930</v>
      </c>
      <c r="B37" s="591" t="s">
        <v>852</v>
      </c>
      <c r="C37" s="625">
        <f ca="1">ROUND(E37*D37*F34/10000,0)</f>
        <v>69</v>
      </c>
      <c r="D37" s="593">
        <f ca="1">D19</f>
        <v>3441.66</v>
      </c>
      <c r="E37" s="625">
        <f>'数据-取费表'!B35</f>
        <v>200</v>
      </c>
      <c r="F37" s="635"/>
      <c r="G37" s="637" t="s">
        <v>853</v>
      </c>
    </row>
    <row r="38" spans="1:7" ht="13.5" customHeight="1">
      <c r="A38" s="1806" t="s">
        <v>1931</v>
      </c>
      <c r="B38" s="591" t="s">
        <v>351</v>
      </c>
      <c r="C38" s="596">
        <f ca="1">ROUND(C34*F38,0)</f>
        <v>14</v>
      </c>
      <c r="D38" s="596"/>
      <c r="E38" s="596"/>
      <c r="F38" s="635">
        <f>'数据-取费表'!B36</f>
        <v>1.4999999999999999E-2</v>
      </c>
      <c r="G38" s="595" t="s">
        <v>851</v>
      </c>
    </row>
    <row r="39" spans="1:7" s="590" customFormat="1" ht="13.5" customHeight="1">
      <c r="A39" s="1803" t="s">
        <v>1915</v>
      </c>
      <c r="B39" s="586" t="s">
        <v>838</v>
      </c>
      <c r="C39" s="608">
        <f ca="1">ROUND(C33*F20,0)</f>
        <v>22</v>
      </c>
      <c r="D39" s="608"/>
      <c r="E39" s="608"/>
      <c r="F39" s="609"/>
      <c r="G39" s="2621" t="s">
        <v>2523</v>
      </c>
    </row>
    <row r="40" spans="1:7" s="590" customFormat="1" ht="13.5" customHeight="1">
      <c r="A40" s="1803" t="s">
        <v>1916</v>
      </c>
      <c r="B40" s="586" t="s">
        <v>839</v>
      </c>
      <c r="C40" s="3235">
        <f>F21</f>
        <v>0.02</v>
      </c>
      <c r="D40" s="612" t="s">
        <v>863</v>
      </c>
      <c r="E40" s="608"/>
      <c r="F40" s="609"/>
      <c r="G40" s="610" t="s">
        <v>854</v>
      </c>
    </row>
    <row r="41" spans="1:7" s="590" customFormat="1" ht="13.5" customHeight="1">
      <c r="A41" s="1803" t="s">
        <v>1917</v>
      </c>
      <c r="B41" s="586" t="s">
        <v>841</v>
      </c>
      <c r="C41" s="608">
        <f ca="1">ROUND(SUM(C42:C43),0)</f>
        <v>52</v>
      </c>
      <c r="D41" s="611">
        <f ca="1">C44</f>
        <v>1E-3</v>
      </c>
      <c r="E41" s="612" t="s">
        <v>863</v>
      </c>
      <c r="F41" s="613"/>
      <c r="G41" s="2621" t="str">
        <f>IF('数据-取费表'!B22&lt;=1,"单利计息","复利计息")</f>
        <v>复利计息</v>
      </c>
    </row>
    <row r="42" spans="1:7" ht="13.5" customHeight="1">
      <c r="A42" s="1806" t="s">
        <v>1923</v>
      </c>
      <c r="B42" s="591" t="s">
        <v>2513</v>
      </c>
      <c r="C42" s="614">
        <f ca="1">ROUND(IF('数据-取费表'!B22&lt;=1,C33*F22*'数据-取费表'!B21/2,C33*(POWER((1+F22),'数据-取费表'!B21/2)-1)),0)</f>
        <v>51</v>
      </c>
      <c r="D42" s="614"/>
      <c r="E42" s="614"/>
      <c r="F42" s="615"/>
      <c r="G42" s="3623" t="s">
        <v>855</v>
      </c>
    </row>
    <row r="43" spans="1:7" ht="13.5" customHeight="1">
      <c r="A43" s="1806" t="s">
        <v>1924</v>
      </c>
      <c r="B43" s="591" t="s">
        <v>2516</v>
      </c>
      <c r="C43" s="614">
        <f ca="1">ROUND(IF('数据-取费表'!B22&lt;=1,C39*F22*'数据-取费表'!B21/2,C39*(POWER((1+F22),'数据-取费表'!B21/2)-1)),0)</f>
        <v>1</v>
      </c>
      <c r="D43" s="614"/>
      <c r="E43" s="614"/>
      <c r="F43" s="615"/>
      <c r="G43" s="3624"/>
    </row>
    <row r="44" spans="1:7" ht="13.5" customHeight="1">
      <c r="A44" s="1806" t="s">
        <v>1925</v>
      </c>
      <c r="B44" s="591" t="s">
        <v>2518</v>
      </c>
      <c r="C44" s="614">
        <f ca="1">ROUND(IF('数据-取费表'!B22&lt;=1,C40*F22*'数据-取费表'!B21/2,C40*(POWER((1+F22),'数据-取费表'!B21/2)-1)),4)</f>
        <v>1E-3</v>
      </c>
      <c r="D44" s="614"/>
      <c r="E44" s="614"/>
      <c r="F44" s="615"/>
      <c r="G44" s="3625"/>
    </row>
    <row r="45" spans="1:7" s="590" customFormat="1" ht="13.5" customHeight="1">
      <c r="A45" s="1803" t="s">
        <v>1918</v>
      </c>
      <c r="B45" s="620" t="s">
        <v>846</v>
      </c>
      <c r="C45" s="621">
        <f ca="1">C46</f>
        <v>220</v>
      </c>
      <c r="D45" s="611">
        <f ca="1">C47</f>
        <v>4.0000000000000001E-3</v>
      </c>
      <c r="E45" s="612" t="s">
        <v>863</v>
      </c>
      <c r="F45" s="622"/>
      <c r="G45" s="623" t="s">
        <v>2524</v>
      </c>
    </row>
    <row r="46" spans="1:7" s="590" customFormat="1" ht="13.5" customHeight="1">
      <c r="A46" s="1806" t="s">
        <v>1923</v>
      </c>
      <c r="B46" s="624" t="s">
        <v>2517</v>
      </c>
      <c r="C46" s="625">
        <f ca="1">ROUND((C33+C39)*F27,0)</f>
        <v>220</v>
      </c>
      <c r="D46" s="639"/>
      <c r="E46" s="612"/>
      <c r="F46" s="622"/>
      <c r="G46" s="623"/>
    </row>
    <row r="47" spans="1:7" s="590" customFormat="1" ht="13.5" customHeight="1">
      <c r="A47" s="1806" t="s">
        <v>1924</v>
      </c>
      <c r="B47" s="624" t="s">
        <v>2519</v>
      </c>
      <c r="C47" s="614">
        <f ca="1">ROUND(C40*F27,4)</f>
        <v>4.0000000000000001E-3</v>
      </c>
      <c r="D47" s="639"/>
      <c r="E47" s="612"/>
      <c r="F47" s="622"/>
      <c r="G47" s="623"/>
    </row>
    <row r="48" spans="1:7" s="590" customFormat="1" ht="13.5" customHeight="1">
      <c r="A48" s="1803" t="s">
        <v>1919</v>
      </c>
      <c r="B48" s="586" t="s">
        <v>856</v>
      </c>
      <c r="C48" s="3235">
        <f>ROUND(F30/(1+'数据-取费表'!C42),4)</f>
        <v>5.0999999999999997E-2</v>
      </c>
      <c r="D48" s="612" t="s">
        <v>2940</v>
      </c>
      <c r="E48" s="608"/>
      <c r="F48" s="613"/>
      <c r="G48" s="2621" t="s">
        <v>2941</v>
      </c>
    </row>
    <row r="49" spans="1:7" ht="16.5" customHeight="1">
      <c r="A49" s="1803" t="s">
        <v>1920</v>
      </c>
      <c r="B49" s="586" t="s">
        <v>865</v>
      </c>
      <c r="C49" s="608">
        <f ca="1">ROUND((C33+C39+C41+C45)/(1-C40-D41-D45-C48),0)</f>
        <v>1483</v>
      </c>
      <c r="D49" s="608"/>
      <c r="E49" s="608"/>
      <c r="F49" s="640"/>
      <c r="G49" s="610" t="s">
        <v>2525</v>
      </c>
    </row>
    <row r="50" spans="1:7" s="634" customFormat="1" ht="24">
      <c r="A50" s="1803" t="s">
        <v>1921</v>
      </c>
      <c r="B50" s="586" t="s">
        <v>858</v>
      </c>
      <c r="C50" s="608"/>
      <c r="D50" s="608"/>
      <c r="E50" s="608"/>
      <c r="F50" s="640">
        <f>IF('数据-取费表'!B24=0,'数据-取费表'!N16,1)</f>
        <v>0.75800000000000001</v>
      </c>
      <c r="G50" s="623" t="s">
        <v>859</v>
      </c>
    </row>
    <row r="51" spans="1:7" ht="16.5" customHeight="1">
      <c r="A51" s="1803" t="s">
        <v>1922</v>
      </c>
      <c r="B51" s="586" t="s">
        <v>866</v>
      </c>
      <c r="C51" s="608">
        <f ca="1">ROUND(C49*F50,0)</f>
        <v>1124</v>
      </c>
      <c r="D51" s="608"/>
      <c r="E51" s="608"/>
      <c r="F51" s="640"/>
      <c r="G51" s="610" t="s">
        <v>352</v>
      </c>
    </row>
    <row r="52" spans="1:7" s="584" customFormat="1" ht="16.5" thickBot="1">
      <c r="A52" s="641" t="s">
        <v>353</v>
      </c>
      <c r="B52" s="642"/>
      <c r="C52" s="643">
        <f ca="1">C31+C51</f>
        <v>1508</v>
      </c>
      <c r="D52" s="642"/>
      <c r="E52" s="642"/>
      <c r="F52" s="642"/>
      <c r="G52" s="644"/>
    </row>
    <row r="55" spans="1:7" ht="15">
      <c r="B55" s="646" t="s">
        <v>354</v>
      </c>
      <c r="C55" s="647"/>
    </row>
    <row r="56" spans="1:7">
      <c r="B56" s="2873" t="s">
        <v>2699</v>
      </c>
      <c r="C56" s="651">
        <f ca="1">1-C57</f>
        <v>0.255</v>
      </c>
    </row>
    <row r="57" spans="1:7">
      <c r="B57" s="2873" t="s">
        <v>2698</v>
      </c>
      <c r="C57" s="650">
        <f ca="1">ROUND(C51/C52,3)</f>
        <v>0.745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1964</v>
      </c>
      <c r="B36" s="1888" t="s">
        <v>1965</v>
      </c>
    </row>
    <row r="37" spans="1:9" ht="27.75" customHeight="1">
      <c r="A37" s="1888"/>
      <c r="B37" s="3430" t="str">
        <f>项目基本情况!B1</f>
        <v>北京市海淀区金夕园甲1号三段-1至3层商业用房房地产房地产抵押价值预评估</v>
      </c>
      <c r="C37" s="3430"/>
      <c r="D37" s="3430"/>
      <c r="E37" s="3430"/>
      <c r="F37" s="3430"/>
      <c r="G37" s="3430"/>
      <c r="H37" s="3430"/>
      <c r="I37" s="3430"/>
    </row>
    <row r="38" spans="1:9">
      <c r="A38" s="1890"/>
      <c r="B38" s="1890"/>
    </row>
    <row r="39" spans="1:9">
      <c r="A39" s="1888" t="s">
        <v>1964</v>
      </c>
      <c r="B39" s="1888" t="s">
        <v>1966</v>
      </c>
    </row>
    <row r="40" spans="1:9">
      <c r="A40" s="1888"/>
      <c r="B40" s="1888" t="str">
        <f>项目基本情况!B5</f>
        <v>李斌</v>
      </c>
    </row>
    <row r="41" spans="1:9">
      <c r="A41" s="1888"/>
      <c r="B41" s="1888"/>
    </row>
    <row r="42" spans="1:9">
      <c r="A42" s="1888" t="s">
        <v>1964</v>
      </c>
      <c r="B42" s="1888" t="s">
        <v>1967</v>
      </c>
    </row>
    <row r="43" spans="1:9">
      <c r="A43" s="1888"/>
      <c r="B43" s="1888" t="s">
        <v>1968</v>
      </c>
    </row>
    <row r="44" spans="1:9">
      <c r="A44" s="1888"/>
      <c r="B44" s="1888"/>
    </row>
    <row r="45" spans="1:9">
      <c r="A45" s="1888" t="s">
        <v>1964</v>
      </c>
      <c r="B45" s="1888" t="s">
        <v>1969</v>
      </c>
    </row>
    <row r="46" spans="1:9" s="1888" customFormat="1" ht="12.75">
      <c r="B46" s="1888" t="str">
        <f ca="1">项目基本情况!K4</f>
        <v>刘梅（注册号：1120140022)、吴薇（注册号：1419970001)</v>
      </c>
    </row>
    <row r="47" spans="1:9">
      <c r="A47" s="1888"/>
      <c r="B47" s="1888" t="str">
        <f>项目基本情况!K5</f>
        <v/>
      </c>
    </row>
    <row r="48" spans="1:9">
      <c r="A48" s="1888" t="s">
        <v>1964</v>
      </c>
      <c r="B48" s="1888" t="s">
        <v>1970</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53"/>
      <c r="C1" s="2758" t="s">
        <v>2629</v>
      </c>
      <c r="D1" s="574"/>
      <c r="E1" s="574"/>
      <c r="F1" s="574"/>
      <c r="G1" s="2754">
        <f>MATCH(B1,'数据-取费表'!A6:A16,0)+5</f>
        <v>8</v>
      </c>
      <c r="H1" s="2585" t="str">
        <f>IF(ISERROR(FIND("住宅",B1)),"非住宅","住宅")</f>
        <v>非住宅</v>
      </c>
    </row>
    <row r="2" spans="1:8" s="576" customFormat="1" ht="18" customHeight="1">
      <c r="A2" s="577" t="s">
        <v>343</v>
      </c>
      <c r="B2" s="578">
        <f ca="1">ROUND(IF(D2="——",C52/10000,C52/10000-E2),0)</f>
        <v>1320</v>
      </c>
      <c r="C2" s="85" t="s">
        <v>867</v>
      </c>
      <c r="D2" s="2871" t="s">
        <v>528</v>
      </c>
      <c r="E2" s="2869" t="e">
        <f ca="1">SUMIF(INDIRECT("'"&amp;G2&amp;"'"&amp;"!A:A"),"承租人权益价值",INDIRECT("'"&amp;G2&amp;"'"&amp;"!c:c"))</f>
        <v>#REF!</v>
      </c>
      <c r="F2" s="2867" t="s">
        <v>867</v>
      </c>
      <c r="G2" s="2870"/>
    </row>
    <row r="3" spans="1:8" s="576" customFormat="1" ht="18" customHeight="1" thickBot="1">
      <c r="A3" s="579" t="s">
        <v>344</v>
      </c>
      <c r="B3" s="580">
        <f ca="1">ROUND(B2*10000/(IF(B1="",'数据-汇总表'!E3,INDIRECT("'数据-取费表'!k"&amp;$G$1))),0)</f>
        <v>3835</v>
      </c>
      <c r="C3" s="85" t="s">
        <v>868</v>
      </c>
      <c r="D3" s="575"/>
      <c r="E3" s="575"/>
      <c r="F3" s="575"/>
      <c r="G3" s="575"/>
    </row>
    <row r="4" spans="1:8" s="584" customFormat="1" ht="15.75">
      <c r="A4" s="581" t="s">
        <v>820</v>
      </c>
      <c r="B4" s="582"/>
      <c r="C4" s="582"/>
      <c r="D4" s="582"/>
      <c r="E4" s="582"/>
      <c r="F4" s="582"/>
      <c r="G4" s="583"/>
    </row>
    <row r="5" spans="1:8" s="590" customFormat="1" ht="13.5" customHeight="1">
      <c r="A5" s="631" t="s">
        <v>1914</v>
      </c>
      <c r="B5" s="586" t="s">
        <v>821</v>
      </c>
      <c r="C5" s="587">
        <f ca="1">C6+C7+C8</f>
        <v>688332</v>
      </c>
      <c r="D5" s="587" t="s">
        <v>822</v>
      </c>
      <c r="E5" s="588" t="s">
        <v>823</v>
      </c>
      <c r="F5" s="588" t="s">
        <v>824</v>
      </c>
      <c r="G5" s="589"/>
    </row>
    <row r="6" spans="1:8" s="590" customFormat="1" ht="13.5" customHeight="1">
      <c r="A6" s="1804" t="s">
        <v>1923</v>
      </c>
      <c r="B6" s="591" t="s">
        <v>825</v>
      </c>
      <c r="C6" s="592"/>
      <c r="D6" s="593"/>
      <c r="E6" s="594"/>
      <c r="F6" s="594"/>
      <c r="G6" s="595"/>
    </row>
    <row r="7" spans="1:8" s="590" customFormat="1" ht="13.5" customHeight="1">
      <c r="A7" s="1804" t="s">
        <v>1924</v>
      </c>
      <c r="B7" s="591" t="s">
        <v>345</v>
      </c>
      <c r="C7" s="596">
        <f>ROUND(C6*F7,0)</f>
        <v>0</v>
      </c>
      <c r="D7" s="596"/>
      <c r="E7" s="594"/>
      <c r="F7" s="597">
        <f>'数据-取费表'!B48+'数据-取费表'!B49</f>
        <v>0</v>
      </c>
      <c r="G7" s="595"/>
    </row>
    <row r="8" spans="1:8" s="599" customFormat="1">
      <c r="A8" s="1804" t="s">
        <v>1925</v>
      </c>
      <c r="B8" s="591" t="s">
        <v>826</v>
      </c>
      <c r="C8" s="596">
        <f ca="1">IF(G8="已包含在土地购买价格中",0,C9+C10)</f>
        <v>688332</v>
      </c>
      <c r="D8" s="598"/>
      <c r="E8" s="596"/>
      <c r="F8" s="597"/>
      <c r="G8" s="84"/>
    </row>
    <row r="9" spans="1:8" s="590" customFormat="1" ht="13.5" customHeight="1">
      <c r="A9" s="1805" t="s">
        <v>1932</v>
      </c>
      <c r="B9" s="600" t="s">
        <v>827</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1933</v>
      </c>
      <c r="B10" s="600" t="s">
        <v>828</v>
      </c>
      <c r="C10" s="601">
        <f ca="1">ROUND(D10*E10,0)</f>
        <v>688332</v>
      </c>
      <c r="D10" s="1909">
        <f ca="1">IF(B1="",'数据-汇总表'!E6,IF(INDIRECT("'数据-取费表'!c"&amp;$G$1)="住宅",INDIRECT("'数据-取费表'!s"&amp;$G$1),INDIRECT("'数据-取费表'!k"&amp;$G$1)+INDIRECT("'数据-取费表'!s"&amp;$G$1)))</f>
        <v>3441.66</v>
      </c>
      <c r="E10" s="601">
        <f>'数据-取费表'!B28</f>
        <v>200</v>
      </c>
      <c r="F10" s="597"/>
      <c r="G10" s="602"/>
    </row>
    <row r="11" spans="1:8" s="590" customFormat="1" ht="13.5" hidden="1" customHeight="1">
      <c r="A11" s="603" t="s">
        <v>42</v>
      </c>
      <c r="B11" s="591" t="s">
        <v>829</v>
      </c>
      <c r="C11" s="587"/>
      <c r="D11" s="1911"/>
      <c r="E11" s="594"/>
      <c r="F11" s="594"/>
      <c r="G11" s="595"/>
    </row>
    <row r="12" spans="1:8" s="590" customFormat="1" ht="13.5" hidden="1" customHeight="1">
      <c r="A12" s="603" t="s">
        <v>43</v>
      </c>
      <c r="B12" s="591" t="s">
        <v>830</v>
      </c>
      <c r="C12" s="587">
        <v>0</v>
      </c>
      <c r="D12" s="1911"/>
      <c r="E12" s="604"/>
      <c r="F12" s="597">
        <v>3.0499999999999999E-2</v>
      </c>
      <c r="G12" s="595"/>
    </row>
    <row r="13" spans="1:8" s="590" customFormat="1" ht="13.5" hidden="1" customHeight="1">
      <c r="A13" s="603" t="s">
        <v>44</v>
      </c>
      <c r="B13" s="591" t="s">
        <v>831</v>
      </c>
      <c r="C13" s="587"/>
      <c r="D13" s="1911"/>
      <c r="E13" s="594"/>
      <c r="F13" s="594"/>
      <c r="G13" s="595"/>
    </row>
    <row r="14" spans="1:8" s="590" customFormat="1" ht="13.5" hidden="1" customHeight="1">
      <c r="A14" s="603" t="s">
        <v>45</v>
      </c>
      <c r="B14" s="591" t="s">
        <v>826</v>
      </c>
      <c r="C14" s="587"/>
      <c r="D14" s="1911"/>
      <c r="E14" s="594"/>
      <c r="F14" s="594"/>
      <c r="G14" s="595" t="s">
        <v>832</v>
      </c>
    </row>
    <row r="15" spans="1:8" s="590" customFormat="1" ht="13.5" hidden="1" customHeight="1">
      <c r="A15" s="603" t="s">
        <v>46</v>
      </c>
      <c r="B15" s="591" t="s">
        <v>833</v>
      </c>
      <c r="C15" s="596"/>
      <c r="D15" s="1911"/>
      <c r="E15" s="594"/>
      <c r="F15" s="594"/>
      <c r="G15" s="595" t="s">
        <v>834</v>
      </c>
    </row>
    <row r="16" spans="1:8"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1915</v>
      </c>
      <c r="B19" s="586" t="s">
        <v>845</v>
      </c>
      <c r="C19" s="587">
        <f ca="1">IF(G19="已包含在土地取得成本中","0",ROUND(D19*E19,0))</f>
        <v>688332</v>
      </c>
      <c r="D19" s="1913">
        <f ca="1">D9+D10</f>
        <v>3441.66</v>
      </c>
      <c r="E19" s="587">
        <f>'数据-取费表'!B31</f>
        <v>200</v>
      </c>
      <c r="F19" s="607"/>
      <c r="G19" s="84"/>
    </row>
    <row r="20" spans="1:7" s="590" customFormat="1" ht="13.5" customHeight="1">
      <c r="A20" s="1803" t="s">
        <v>1916</v>
      </c>
      <c r="B20" s="586" t="s">
        <v>838</v>
      </c>
      <c r="C20" s="608">
        <f ca="1">ROUND((C5+C19)*F20,0)</f>
        <v>27533</v>
      </c>
      <c r="D20" s="608"/>
      <c r="E20" s="608"/>
      <c r="F20" s="609">
        <f>'数据-取费表'!B37</f>
        <v>0.02</v>
      </c>
      <c r="G20" s="2621" t="s">
        <v>2520</v>
      </c>
    </row>
    <row r="21" spans="1:7" s="590" customFormat="1" ht="13.5" customHeight="1">
      <c r="A21" s="1803" t="s">
        <v>1917</v>
      </c>
      <c r="B21" s="586" t="s">
        <v>839</v>
      </c>
      <c r="C21" s="611">
        <f>F21</f>
        <v>0.02</v>
      </c>
      <c r="D21" s="612" t="s">
        <v>860</v>
      </c>
      <c r="E21" s="608"/>
      <c r="F21" s="609">
        <f>'数据-取费表'!B38</f>
        <v>0.02</v>
      </c>
      <c r="G21" s="610" t="s">
        <v>840</v>
      </c>
    </row>
    <row r="22" spans="1:7" s="590" customFormat="1" ht="13.5" customHeight="1">
      <c r="A22" s="1803" t="s">
        <v>1918</v>
      </c>
      <c r="B22" s="586" t="s">
        <v>841</v>
      </c>
      <c r="C22" s="2755">
        <f ca="1">ROUND(SUM(C23:C25),0)</f>
        <v>135198</v>
      </c>
      <c r="D22" s="611">
        <f ca="1">C26</f>
        <v>1E-3</v>
      </c>
      <c r="E22" s="612" t="s">
        <v>860</v>
      </c>
      <c r="F22" s="613">
        <f ca="1">'数据-取费表'!B40</f>
        <v>4.7500000000000001E-2</v>
      </c>
      <c r="G22" s="2621" t="str">
        <f>IF('数据-取费表'!B22&lt;=1,"单利计息","复利计息")</f>
        <v>复利计息</v>
      </c>
    </row>
    <row r="23" spans="1:7" s="590" customFormat="1" ht="13.5" customHeight="1">
      <c r="A23" s="1806" t="s">
        <v>1923</v>
      </c>
      <c r="B23" s="591" t="s">
        <v>2513</v>
      </c>
      <c r="C23" s="2756">
        <f ca="1">ROUND(IF('数据-取费表'!B22&lt;=1,C5*F22*'数据-取费表'!B22,C5*(POWER((1+F22),'数据-取费表'!B22)-1)),0)</f>
        <v>66945</v>
      </c>
      <c r="D23" s="614"/>
      <c r="E23" s="614"/>
      <c r="F23" s="615"/>
      <c r="G23" s="616" t="s">
        <v>842</v>
      </c>
    </row>
    <row r="24" spans="1:7" s="590" customFormat="1" ht="13.5" customHeight="1">
      <c r="A24" s="1806" t="s">
        <v>1924</v>
      </c>
      <c r="B24" s="591" t="s">
        <v>2508</v>
      </c>
      <c r="C24" s="2756">
        <f ca="1">ROUND(IF('数据-取费表'!B22&lt;=1,C19*F22*('数据-取费表'!B19/2+'数据-取费表'!B20),C19*(POWER((1+F22),('数据-取费表'!B19/2+'数据-取费表'!B20))-1)),0)</f>
        <v>66945</v>
      </c>
      <c r="D24" s="614"/>
      <c r="E24" s="614"/>
      <c r="F24" s="615"/>
      <c r="G24" s="616" t="s">
        <v>843</v>
      </c>
    </row>
    <row r="25" spans="1:7" s="590" customFormat="1" ht="24">
      <c r="A25" s="1806" t="s">
        <v>1925</v>
      </c>
      <c r="B25" s="591" t="s">
        <v>2510</v>
      </c>
      <c r="C25" s="2756">
        <f ca="1">ROUND(IF('数据-取费表'!B22&lt;=1,C20*F22*'数据-取费表'!B22/2,C20*(POWER((1+F22),'数据-取费表'!B22/2)-1)),0)</f>
        <v>1308</v>
      </c>
      <c r="D25" s="614"/>
      <c r="E25" s="617"/>
      <c r="F25" s="615"/>
      <c r="G25" s="618" t="s">
        <v>844</v>
      </c>
    </row>
    <row r="26" spans="1:7" s="590" customFormat="1">
      <c r="A26" s="1806" t="s">
        <v>1927</v>
      </c>
      <c r="B26" s="591" t="s">
        <v>2512</v>
      </c>
      <c r="C26" s="614">
        <f ca="1">ROUND(IF('数据-取费表'!B22&lt;=1,F21*F22*'数据-取费表'!B22/2,F21*(POWER((1+F22),'数据-取费表'!B22/2)-1)),4)</f>
        <v>1E-3</v>
      </c>
      <c r="D26" s="614"/>
      <c r="E26" s="617"/>
      <c r="F26" s="615"/>
      <c r="G26" s="619"/>
    </row>
    <row r="27" spans="1:7" s="590" customFormat="1" ht="24.75">
      <c r="A27" s="1803" t="s">
        <v>1919</v>
      </c>
      <c r="B27" s="620" t="s">
        <v>846</v>
      </c>
      <c r="C27" s="621">
        <f ca="1">C28</f>
        <v>280839</v>
      </c>
      <c r="D27" s="611">
        <f ca="1">C29</f>
        <v>4.0000000000000001E-3</v>
      </c>
      <c r="E27" s="612" t="s">
        <v>860</v>
      </c>
      <c r="F27" s="622">
        <f ca="1">IF(B1="",'数据-取费表'!Q16,INDIRECT("'数据-取费表'!q"&amp;$G$1))</f>
        <v>0.2</v>
      </c>
      <c r="G27" s="623" t="s">
        <v>2521</v>
      </c>
    </row>
    <row r="28" spans="1:7" s="590" customFormat="1" ht="13.5" customHeight="1">
      <c r="A28" s="1806" t="s">
        <v>1923</v>
      </c>
      <c r="B28" s="624" t="s">
        <v>2514</v>
      </c>
      <c r="C28" s="625">
        <f ca="1">ROUND((C5+C19+C20)*F27,0)</f>
        <v>280839</v>
      </c>
      <c r="D28" s="611"/>
      <c r="E28" s="612"/>
      <c r="F28" s="622"/>
      <c r="G28" s="623"/>
    </row>
    <row r="29" spans="1:7" s="590" customFormat="1" ht="13.5" customHeight="1">
      <c r="A29" s="1806" t="s">
        <v>1924</v>
      </c>
      <c r="B29" s="624" t="s">
        <v>2515</v>
      </c>
      <c r="C29" s="614">
        <f ca="1">ROUND(C21*F27,4)</f>
        <v>4.0000000000000001E-3</v>
      </c>
      <c r="D29" s="611"/>
      <c r="E29" s="612"/>
      <c r="F29" s="622"/>
      <c r="G29" s="623"/>
    </row>
    <row r="30" spans="1:7" s="590" customFormat="1" ht="13.5" customHeight="1">
      <c r="A30" s="1803" t="s">
        <v>1920</v>
      </c>
      <c r="B30" s="586" t="s">
        <v>346</v>
      </c>
      <c r="C30" s="611">
        <f>ROUND(F30/(1+'数据-取费表'!C42),4)</f>
        <v>5.0999999999999997E-2</v>
      </c>
      <c r="D30" s="612" t="s">
        <v>2942</v>
      </c>
      <c r="E30" s="617"/>
      <c r="F30" s="613">
        <f>'数据-取费表'!B41</f>
        <v>5.3500000000000006E-2</v>
      </c>
      <c r="G30" s="2621" t="s">
        <v>2943</v>
      </c>
    </row>
    <row r="31" spans="1:7" ht="16.5" customHeight="1">
      <c r="A31" s="585">
        <v>1</v>
      </c>
      <c r="B31" s="586" t="s">
        <v>862</v>
      </c>
      <c r="C31" s="587">
        <f ca="1">ROUND((C5+C19+C20+C22+C27)/(1-C21-D22-D27-C30),0)</f>
        <v>1969950</v>
      </c>
      <c r="D31" s="606"/>
      <c r="E31" s="587"/>
      <c r="F31" s="626"/>
      <c r="G31" s="610" t="s">
        <v>2522</v>
      </c>
    </row>
    <row r="32" spans="1:7" s="584" customFormat="1" ht="15.75">
      <c r="A32" s="628" t="s">
        <v>2624</v>
      </c>
      <c r="B32" s="629"/>
      <c r="C32" s="629"/>
      <c r="D32" s="629"/>
      <c r="E32" s="629"/>
      <c r="F32" s="629"/>
      <c r="G32" s="630"/>
    </row>
    <row r="33" spans="1:7" s="590" customFormat="1" ht="13.5" customHeight="1">
      <c r="A33" s="631" t="s">
        <v>1914</v>
      </c>
      <c r="B33" s="2757" t="s">
        <v>2625</v>
      </c>
      <c r="C33" s="632">
        <f ca="1">SUM(C34:C38)</f>
        <v>10758629</v>
      </c>
      <c r="D33" s="608"/>
      <c r="E33" s="588"/>
      <c r="F33" s="617"/>
      <c r="G33" s="610"/>
    </row>
    <row r="34" spans="1:7" s="634" customFormat="1" ht="13.5" customHeight="1">
      <c r="A34" s="1806" t="s">
        <v>1923</v>
      </c>
      <c r="B34" s="591" t="s">
        <v>347</v>
      </c>
      <c r="C34" s="596">
        <f ca="1">ROUND(IF(B1="",SUMPRODUCT('数据-取费表'!K6:K14,'数据-取费表'!L6:L14),INDIRECT("'数据-取费表'!l"&amp;$G$1)*INDIRECT("'数据-取费表'!k"&amp;$G$1)+'数据-取费表'!L14*INDIRECT("'数据-取费表'!S"&amp;$G$1)),0)</f>
        <v>9636648</v>
      </c>
      <c r="D34" s="593"/>
      <c r="E34" s="596"/>
      <c r="F34" s="633"/>
      <c r="G34" s="595"/>
    </row>
    <row r="35" spans="1:7" ht="13.5" customHeight="1">
      <c r="A35" s="1806" t="s">
        <v>1928</v>
      </c>
      <c r="B35" s="591" t="s">
        <v>348</v>
      </c>
      <c r="C35" s="596">
        <f ca="1">ROUND(C34*F35,0)</f>
        <v>289099</v>
      </c>
      <c r="D35" s="596"/>
      <c r="E35" s="596"/>
      <c r="F35" s="635">
        <f>'数据-取费表'!B33</f>
        <v>0.03</v>
      </c>
      <c r="G35" s="595" t="s">
        <v>851</v>
      </c>
    </row>
    <row r="36" spans="1:7" ht="24">
      <c r="A36" s="1806" t="s">
        <v>1929</v>
      </c>
      <c r="B36" s="591" t="s">
        <v>349</v>
      </c>
      <c r="C36" s="596">
        <f ca="1">ROUND(IF(B1="",SUM('数据-取费表'!AP6:AP13)*F36,IF(INDIRECT("'数据-取费表'!c"&amp;$G$1)="住宅",INDIRECT("'数据-取费表'!k"&amp;$G$1)*INDIRECT("'数据-取费表'!l"&amp;$G$1)*F36,0)),0)</f>
        <v>0</v>
      </c>
      <c r="D36" s="596"/>
      <c r="E36" s="596"/>
      <c r="F36" s="635">
        <f>'数据-取费表'!B34</f>
        <v>0.05</v>
      </c>
      <c r="G36" s="636" t="s">
        <v>350</v>
      </c>
    </row>
    <row r="37" spans="1:7" s="634" customFormat="1" ht="13.5" customHeight="1">
      <c r="A37" s="1806" t="s">
        <v>1930</v>
      </c>
      <c r="B37" s="591" t="s">
        <v>852</v>
      </c>
      <c r="C37" s="625">
        <f ca="1">ROUND(E37*D37,0)</f>
        <v>688332</v>
      </c>
      <c r="D37" s="593">
        <f ca="1">D19</f>
        <v>3441.66</v>
      </c>
      <c r="E37" s="625">
        <f>'数据-取费表'!B35</f>
        <v>200</v>
      </c>
      <c r="F37" s="635"/>
      <c r="G37" s="637"/>
    </row>
    <row r="38" spans="1:7" ht="13.5" customHeight="1">
      <c r="A38" s="1806" t="s">
        <v>1931</v>
      </c>
      <c r="B38" s="591" t="s">
        <v>351</v>
      </c>
      <c r="C38" s="596">
        <f ca="1">ROUND(C34*F38,0)</f>
        <v>144550</v>
      </c>
      <c r="D38" s="596"/>
      <c r="E38" s="596"/>
      <c r="F38" s="635">
        <f>'数据-取费表'!B36</f>
        <v>1.4999999999999999E-2</v>
      </c>
      <c r="G38" s="595" t="s">
        <v>851</v>
      </c>
    </row>
    <row r="39" spans="1:7" s="590" customFormat="1" ht="13.5" customHeight="1">
      <c r="A39" s="1803" t="s">
        <v>1915</v>
      </c>
      <c r="B39" s="586" t="s">
        <v>838</v>
      </c>
      <c r="C39" s="608">
        <f ca="1">ROUND(C33*F20,0)</f>
        <v>215173</v>
      </c>
      <c r="D39" s="608"/>
      <c r="E39" s="608"/>
      <c r="F39" s="609"/>
      <c r="G39" s="2621" t="s">
        <v>2523</v>
      </c>
    </row>
    <row r="40" spans="1:7" s="590" customFormat="1" ht="13.5" customHeight="1">
      <c r="A40" s="1803" t="s">
        <v>1916</v>
      </c>
      <c r="B40" s="586" t="s">
        <v>839</v>
      </c>
      <c r="C40" s="3235">
        <f>F21</f>
        <v>0.02</v>
      </c>
      <c r="D40" s="612" t="s">
        <v>863</v>
      </c>
      <c r="E40" s="608"/>
      <c r="F40" s="609"/>
      <c r="G40" s="610" t="s">
        <v>854</v>
      </c>
    </row>
    <row r="41" spans="1:7" s="590" customFormat="1" ht="13.5" customHeight="1">
      <c r="A41" s="1803" t="s">
        <v>1917</v>
      </c>
      <c r="B41" s="586" t="s">
        <v>841</v>
      </c>
      <c r="C41" s="608">
        <f ca="1">ROUND(SUM(C42:C43),0)</f>
        <v>521256</v>
      </c>
      <c r="D41" s="611">
        <f ca="1">C44</f>
        <v>1E-3</v>
      </c>
      <c r="E41" s="612" t="s">
        <v>863</v>
      </c>
      <c r="F41" s="613"/>
      <c r="G41" s="2621" t="str">
        <f>IF('数据-取费表'!B22&lt;=1,"单利计息","复利计息")</f>
        <v>复利计息</v>
      </c>
    </row>
    <row r="42" spans="1:7" ht="13.5" customHeight="1">
      <c r="A42" s="1806" t="s">
        <v>1923</v>
      </c>
      <c r="B42" s="591" t="s">
        <v>2513</v>
      </c>
      <c r="C42" s="614">
        <f ca="1">ROUND(IF('数据-取费表'!B22&lt;=1,C33*F22*'数据-取费表'!B20/2,C33*(POWER((1+F22),'数据-取费表'!B20/2)-1)),0)</f>
        <v>511035</v>
      </c>
      <c r="D42" s="614"/>
      <c r="E42" s="614"/>
      <c r="F42" s="615"/>
      <c r="G42" s="3626" t="s">
        <v>2628</v>
      </c>
    </row>
    <row r="43" spans="1:7" ht="13.5" customHeight="1">
      <c r="A43" s="1806" t="s">
        <v>1924</v>
      </c>
      <c r="B43" s="591" t="s">
        <v>2508</v>
      </c>
      <c r="C43" s="614">
        <f ca="1">ROUND(IF('数据-取费表'!B22&lt;=1,C39*F22*'数据-取费表'!B20/2,C39*(POWER((1+F22),'数据-取费表'!B20/2)-1)),0)</f>
        <v>10221</v>
      </c>
      <c r="D43" s="614"/>
      <c r="E43" s="614"/>
      <c r="F43" s="615"/>
      <c r="G43" s="3624"/>
    </row>
    <row r="44" spans="1:7" ht="13.5" customHeight="1">
      <c r="A44" s="1806" t="s">
        <v>1925</v>
      </c>
      <c r="B44" s="591" t="s">
        <v>2510</v>
      </c>
      <c r="C44" s="614">
        <f ca="1">ROUND(IF('数据-取费表'!B22&lt;=1,C40*F22*'数据-取费表'!B20/2,C40*(POWER((1+F22),'数据-取费表'!B20/2)-1)),4)</f>
        <v>1E-3</v>
      </c>
      <c r="D44" s="614"/>
      <c r="E44" s="614"/>
      <c r="F44" s="615"/>
      <c r="G44" s="3625"/>
    </row>
    <row r="45" spans="1:7" s="590" customFormat="1" ht="13.5" customHeight="1">
      <c r="A45" s="1803" t="s">
        <v>1918</v>
      </c>
      <c r="B45" s="620" t="s">
        <v>846</v>
      </c>
      <c r="C45" s="621">
        <f ca="1">C46</f>
        <v>2194760</v>
      </c>
      <c r="D45" s="611">
        <f ca="1">C47</f>
        <v>4.0000000000000001E-3</v>
      </c>
      <c r="E45" s="612" t="s">
        <v>863</v>
      </c>
      <c r="F45" s="622"/>
      <c r="G45" s="623" t="s">
        <v>2524</v>
      </c>
    </row>
    <row r="46" spans="1:7" s="590" customFormat="1" ht="13.5" customHeight="1">
      <c r="A46" s="1806" t="s">
        <v>1923</v>
      </c>
      <c r="B46" s="624" t="s">
        <v>2517</v>
      </c>
      <c r="C46" s="625">
        <f ca="1">ROUND((C33+C39)*F27,0)</f>
        <v>2194760</v>
      </c>
      <c r="D46" s="639"/>
      <c r="E46" s="612"/>
      <c r="F46" s="622"/>
      <c r="G46" s="623"/>
    </row>
    <row r="47" spans="1:7" s="590" customFormat="1" ht="13.5" customHeight="1">
      <c r="A47" s="1806" t="s">
        <v>1924</v>
      </c>
      <c r="B47" s="624" t="s">
        <v>2519</v>
      </c>
      <c r="C47" s="614">
        <f ca="1">ROUND(C40*F27,4)</f>
        <v>4.0000000000000001E-3</v>
      </c>
      <c r="D47" s="639"/>
      <c r="E47" s="612"/>
      <c r="F47" s="622"/>
      <c r="G47" s="623"/>
    </row>
    <row r="48" spans="1:7" s="590" customFormat="1" ht="13.5" customHeight="1">
      <c r="A48" s="1803" t="s">
        <v>1919</v>
      </c>
      <c r="B48" s="586" t="s">
        <v>856</v>
      </c>
      <c r="C48" s="638">
        <f>ROUND(F30/(1+'数据-取费表'!C42),4)</f>
        <v>5.0999999999999997E-2</v>
      </c>
      <c r="D48" s="612" t="s">
        <v>2940</v>
      </c>
      <c r="E48" s="608"/>
      <c r="F48" s="613"/>
      <c r="G48" s="2621" t="s">
        <v>2941</v>
      </c>
    </row>
    <row r="49" spans="1:7" ht="16.5" customHeight="1">
      <c r="A49" s="1803" t="s">
        <v>1920</v>
      </c>
      <c r="B49" s="586" t="s">
        <v>2626</v>
      </c>
      <c r="C49" s="608">
        <f ca="1">ROUND((C33+C39+C41+C45)/(1-C40-D41-D45-C48),0)</f>
        <v>14815820</v>
      </c>
      <c r="D49" s="608"/>
      <c r="E49" s="608"/>
      <c r="F49" s="640"/>
      <c r="G49" s="610" t="s">
        <v>2525</v>
      </c>
    </row>
    <row r="50" spans="1:7" s="634" customFormat="1">
      <c r="A50" s="1803" t="s">
        <v>1921</v>
      </c>
      <c r="B50" s="586" t="s">
        <v>858</v>
      </c>
      <c r="C50" s="608"/>
      <c r="D50" s="608"/>
      <c r="E50" s="608"/>
      <c r="F50" s="640">
        <f>IF('数据-取费表'!B24=0,'数据-取费表'!N16,1)</f>
        <v>0.75800000000000001</v>
      </c>
      <c r="G50" s="623"/>
    </row>
    <row r="51" spans="1:7" ht="16.5" customHeight="1">
      <c r="A51" s="1803" t="s">
        <v>1922</v>
      </c>
      <c r="B51" s="586" t="s">
        <v>2627</v>
      </c>
      <c r="C51" s="608">
        <f ca="1">ROUND(C49*F50,0)</f>
        <v>11230392</v>
      </c>
      <c r="D51" s="608"/>
      <c r="E51" s="608"/>
      <c r="F51" s="640"/>
      <c r="G51" s="610" t="s">
        <v>352</v>
      </c>
    </row>
    <row r="52" spans="1:7" s="584" customFormat="1" ht="16.5" thickBot="1">
      <c r="A52" s="641" t="s">
        <v>353</v>
      </c>
      <c r="B52" s="642"/>
      <c r="C52" s="643">
        <f ca="1">C31+C51</f>
        <v>13200342</v>
      </c>
      <c r="D52" s="642"/>
      <c r="E52" s="642"/>
      <c r="F52" s="642"/>
      <c r="G52" s="644"/>
    </row>
    <row r="55" spans="1:7" ht="15">
      <c r="B55" s="646" t="s">
        <v>354</v>
      </c>
      <c r="C55" s="647"/>
    </row>
    <row r="56" spans="1:7">
      <c r="B56" s="2873" t="s">
        <v>2699</v>
      </c>
      <c r="C56" s="651">
        <f ca="1">1-C57</f>
        <v>0.14900000000000002</v>
      </c>
    </row>
    <row r="57" spans="1:7">
      <c r="B57" s="2873" t="s">
        <v>2698</v>
      </c>
      <c r="C57" s="650">
        <f ca="1">ROUND(C51/C52,3)</f>
        <v>0.85099999999999998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869</v>
      </c>
      <c r="B1" s="3051"/>
      <c r="C1" s="3052"/>
      <c r="D1" s="3050"/>
      <c r="E1" s="652"/>
      <c r="F1" s="652"/>
      <c r="G1" s="3051"/>
      <c r="H1" s="652"/>
      <c r="I1" s="652"/>
      <c r="J1" s="652"/>
      <c r="K1" s="652">
        <f>MATCH(C1,'数据-取费表'!A6:A16,0)+5</f>
        <v>8</v>
      </c>
    </row>
    <row r="2" spans="1:33" ht="18" customHeight="1">
      <c r="A2" s="577" t="s">
        <v>818</v>
      </c>
      <c r="B2" s="580">
        <f ca="1">C32</f>
        <v>161</v>
      </c>
      <c r="C2" s="88" t="s">
        <v>1101</v>
      </c>
      <c r="D2" s="652"/>
      <c r="E2" s="652"/>
      <c r="F2" s="652"/>
      <c r="G2" s="652"/>
      <c r="H2" s="652"/>
      <c r="I2" s="652"/>
      <c r="J2" s="652"/>
      <c r="K2" s="652"/>
    </row>
    <row r="3" spans="1:33" ht="18" customHeight="1" thickBot="1">
      <c r="A3" s="579" t="s">
        <v>819</v>
      </c>
      <c r="B3" s="580">
        <f ca="1">ROUND(B2*10000/IF(C1="",'数据-汇总表'!E3,INDIRECT("'数据-取费表'!K"&amp;$K$1)),0)</f>
        <v>468</v>
      </c>
      <c r="C3" s="88" t="s">
        <v>868</v>
      </c>
      <c r="D3" s="652"/>
      <c r="E3" s="652"/>
      <c r="F3" s="652"/>
      <c r="G3" s="652"/>
      <c r="H3" s="652"/>
      <c r="I3" s="652"/>
      <c r="J3" s="652"/>
      <c r="K3" s="652"/>
    </row>
    <row r="4" spans="1:33" s="1811" customFormat="1" ht="16.5" customHeight="1">
      <c r="A4" s="1808" t="s">
        <v>870</v>
      </c>
      <c r="B4" s="1809"/>
      <c r="C4" s="1852">
        <f>SUM(C8:K8)</f>
        <v>0</v>
      </c>
      <c r="D4" s="1809"/>
      <c r="E4" s="1809"/>
      <c r="F4" s="1809"/>
      <c r="G4" s="1809"/>
      <c r="H4" s="1809"/>
      <c r="I4" s="1809"/>
      <c r="J4" s="1809"/>
      <c r="K4" s="1810"/>
    </row>
    <row r="5" spans="1:33" s="1815" customFormat="1" ht="24">
      <c r="A5" s="1812" t="s">
        <v>871</v>
      </c>
      <c r="B5" s="1813" t="s">
        <v>872</v>
      </c>
      <c r="C5" s="1273" t="s">
        <v>202</v>
      </c>
      <c r="D5" s="1273" t="s">
        <v>203</v>
      </c>
      <c r="E5" s="1273" t="s">
        <v>193</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1934</v>
      </c>
      <c r="B6" s="471" t="s">
        <v>873</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1915</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1916</v>
      </c>
      <c r="B8" s="509" t="s">
        <v>875</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876</v>
      </c>
      <c r="B9" s="1809"/>
      <c r="C9" s="1809"/>
      <c r="D9" s="1809"/>
      <c r="E9" s="1809"/>
      <c r="F9" s="1809"/>
      <c r="G9" s="1809"/>
      <c r="H9" s="1809"/>
      <c r="I9" s="1809"/>
      <c r="J9" s="1809"/>
      <c r="K9" s="1810"/>
    </row>
    <row r="10" spans="1:33" s="1826" customFormat="1" ht="13.5" customHeight="1">
      <c r="A10" s="1812" t="s">
        <v>871</v>
      </c>
      <c r="B10" s="295" t="s">
        <v>872</v>
      </c>
      <c r="C10" s="1822" t="s">
        <v>877</v>
      </c>
      <c r="D10" s="1823" t="s">
        <v>878</v>
      </c>
      <c r="E10" s="1823" t="s">
        <v>879</v>
      </c>
      <c r="F10" s="1823" t="s">
        <v>880</v>
      </c>
      <c r="G10" s="295"/>
      <c r="H10" s="1824"/>
      <c r="I10" s="1824"/>
      <c r="J10" s="1824"/>
      <c r="K10" s="1825"/>
    </row>
    <row r="11" spans="1:33" s="1831" customFormat="1" ht="13.5" customHeight="1">
      <c r="A11" s="1827" t="s">
        <v>2946</v>
      </c>
      <c r="B11" s="1828" t="s">
        <v>881</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2947</v>
      </c>
      <c r="B12" s="1828" t="s">
        <v>882</v>
      </c>
      <c r="C12" s="313">
        <f ca="1">ROUND(C11*F12,0)</f>
        <v>0</v>
      </c>
      <c r="D12" s="1829"/>
      <c r="E12" s="715"/>
      <c r="F12" s="1832">
        <f>'数据-取费表'!B33</f>
        <v>0.03</v>
      </c>
      <c r="G12" s="295" t="s">
        <v>883</v>
      </c>
      <c r="H12" s="1824"/>
      <c r="I12" s="1824"/>
      <c r="J12" s="1824"/>
      <c r="K12" s="1825"/>
    </row>
    <row r="13" spans="1:33" s="1831" customFormat="1" ht="13.5" customHeight="1">
      <c r="A13" s="1827" t="s">
        <v>2948</v>
      </c>
      <c r="B13" s="1828" t="s">
        <v>884</v>
      </c>
      <c r="C13" s="313">
        <f ca="1">ROUND(IF(C1="",SUMIF('数据-取费表'!C:C,"住宅",'数据-取费表'!P:P)*F13,IF(INDIRECT("'数据-取费表'!c"&amp;$K$1)="住宅",INDIRECT("'数据-取费表'!P"&amp;$K$1)*F13,0)),0)</f>
        <v>0</v>
      </c>
      <c r="D13" s="1910"/>
      <c r="E13" s="715"/>
      <c r="F13" s="1832">
        <f>'数据-取费表'!B34</f>
        <v>0.05</v>
      </c>
      <c r="G13" s="295" t="s">
        <v>885</v>
      </c>
      <c r="H13" s="1824"/>
      <c r="I13" s="1824"/>
      <c r="J13" s="1824"/>
      <c r="K13" s="1825"/>
    </row>
    <row r="14" spans="1:33" s="1833" customFormat="1" ht="13.5" customHeight="1">
      <c r="A14" s="1827" t="s">
        <v>2949</v>
      </c>
      <c r="B14" s="1828" t="s">
        <v>886</v>
      </c>
      <c r="C14" s="313">
        <f ca="1">ROUND(D14*E14*F11/10000,0)</f>
        <v>0</v>
      </c>
      <c r="D14" s="1910">
        <f ca="1">IF(C1="",'数据-汇总表'!E3,INDIRECT("'数据-取费表'!K"&amp;$K$1)+INDIRECT("'数据-取费表'!S"&amp;$K$1))</f>
        <v>3441.66</v>
      </c>
      <c r="E14" s="313">
        <f>'数据-取费表'!B35</f>
        <v>200</v>
      </c>
      <c r="F14" s="1832"/>
      <c r="G14" s="295" t="s">
        <v>887</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2950</v>
      </c>
      <c r="B15" s="1828" t="s">
        <v>893</v>
      </c>
      <c r="C15" s="1839">
        <f ca="1">ROUND(C11*F15,0)</f>
        <v>0</v>
      </c>
      <c r="D15" s="1834"/>
      <c r="E15" s="1839"/>
      <c r="F15" s="1840">
        <f>'数据-取费表'!B36</f>
        <v>1.4999999999999999E-2</v>
      </c>
      <c r="G15" s="471" t="s">
        <v>894</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1935</v>
      </c>
      <c r="B16" s="3236" t="s">
        <v>2951</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1936</v>
      </c>
      <c r="B17" s="1828" t="s">
        <v>888</v>
      </c>
      <c r="C17" s="313">
        <f ca="1">ROUND(D17*E17/10000,0)</f>
        <v>0</v>
      </c>
      <c r="D17" s="1910">
        <f ca="1">D14</f>
        <v>3441.66</v>
      </c>
      <c r="E17" s="313">
        <f>'数据-取费表'!B32</f>
        <v>0</v>
      </c>
      <c r="F17" s="1834"/>
      <c r="G17" s="471" t="s">
        <v>889</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2952</v>
      </c>
      <c r="B18" s="1828" t="s">
        <v>890</v>
      </c>
      <c r="C18" s="313">
        <f ca="1">C19+C20-IF(C1="",'数据-取费表'!B29,IF(G18="已全部缴纳",C19+C20,H18))</f>
        <v>-131</v>
      </c>
      <c r="D18" s="1910"/>
      <c r="E18" s="313"/>
      <c r="F18" s="1832"/>
      <c r="G18" s="3047"/>
      <c r="H18" s="3045"/>
      <c r="I18" s="3046" t="s">
        <v>2797</v>
      </c>
      <c r="J18" s="1835"/>
      <c r="K18" s="1836"/>
    </row>
    <row r="19" spans="1:33" s="1831" customFormat="1" ht="13.5" customHeight="1">
      <c r="A19" s="1827" t="s">
        <v>1937</v>
      </c>
      <c r="B19" s="1828" t="s">
        <v>891</v>
      </c>
      <c r="C19" s="313">
        <f ca="1">ROUND(D19*E19/10000,0)</f>
        <v>0</v>
      </c>
      <c r="D19" s="1910">
        <f ca="1">IF(C1="",'数据-汇总表'!E5,IF(INDIRECT("'数据-取费表'!c"&amp;$K$1)="住宅",INDIRECT("'数据-取费表'!k"&amp;$K$1),0))</f>
        <v>0</v>
      </c>
      <c r="E19" s="313">
        <f>'数据-取费表'!B27</f>
        <v>0</v>
      </c>
      <c r="F19" s="1832"/>
      <c r="G19" s="303"/>
      <c r="H19" s="3049"/>
      <c r="I19" s="1837"/>
      <c r="J19" s="1837"/>
      <c r="K19" s="1838"/>
    </row>
    <row r="20" spans="1:33" s="1831" customFormat="1" ht="13.5" customHeight="1">
      <c r="A20" s="1827" t="s">
        <v>1938</v>
      </c>
      <c r="B20" s="1828" t="s">
        <v>892</v>
      </c>
      <c r="C20" s="313">
        <f ca="1">ROUND(D20*E20/10000,0)</f>
        <v>69</v>
      </c>
      <c r="D20" s="1910">
        <f ca="1">IF(C1="",'数据-汇总表'!E6,IF(INDIRECT("'数据-取费表'!c"&amp;$K$1)="住宅",INDIRECT("'数据-取费表'!s"&amp;$K$1),INDIRECT("'数据-取费表'!k"&amp;$K$1)+INDIRECT("'数据-取费表'!s"&amp;$K$1)))</f>
        <v>3441.66</v>
      </c>
      <c r="E20" s="313">
        <f>'数据-取费表'!B28</f>
        <v>200</v>
      </c>
      <c r="F20" s="1832"/>
      <c r="G20" s="303"/>
      <c r="H20" s="1837"/>
      <c r="I20" s="1837"/>
      <c r="J20" s="1837"/>
      <c r="K20" s="1838"/>
    </row>
    <row r="21" spans="1:33" s="1831" customFormat="1" ht="13.5" customHeight="1">
      <c r="A21" s="1816" t="s">
        <v>1934</v>
      </c>
      <c r="B21" s="1841" t="s">
        <v>895</v>
      </c>
      <c r="C21" s="1842">
        <f ca="1">C16+C17+C18</f>
        <v>-131</v>
      </c>
      <c r="D21" s="1843"/>
      <c r="E21" s="657"/>
      <c r="F21" s="657"/>
      <c r="G21" s="471" t="s">
        <v>2526</v>
      </c>
      <c r="H21" s="1835"/>
      <c r="I21" s="1835"/>
      <c r="J21" s="1835"/>
      <c r="K21" s="1836"/>
    </row>
    <row r="22" spans="1:33" s="1831" customFormat="1" ht="13.5" customHeight="1">
      <c r="A22" s="1821" t="s">
        <v>1915</v>
      </c>
      <c r="B22" s="1841" t="s">
        <v>896</v>
      </c>
      <c r="C22" s="1842">
        <f ca="1">ROUND(C21*F22,0)</f>
        <v>-3</v>
      </c>
      <c r="D22" s="657"/>
      <c r="E22" s="657"/>
      <c r="F22" s="1844">
        <f>'数据-取费表'!B37</f>
        <v>0.02</v>
      </c>
      <c r="G22" s="295" t="s">
        <v>897</v>
      </c>
      <c r="H22" s="1824"/>
      <c r="I22" s="1824"/>
      <c r="J22" s="1824"/>
      <c r="K22" s="1825"/>
    </row>
    <row r="23" spans="1:33" s="1831" customFormat="1" ht="13.5" customHeight="1">
      <c r="A23" s="1821" t="s">
        <v>1916</v>
      </c>
      <c r="B23" s="1841" t="s">
        <v>898</v>
      </c>
      <c r="C23" s="1842">
        <f ca="1">ROUND(C4*F23*F11,0)</f>
        <v>0</v>
      </c>
      <c r="D23" s="657"/>
      <c r="E23" s="657"/>
      <c r="F23" s="1844">
        <f>'数据-取费表'!B38</f>
        <v>0.02</v>
      </c>
      <c r="G23" s="295" t="s">
        <v>899</v>
      </c>
      <c r="H23" s="1824"/>
      <c r="I23" s="1824"/>
      <c r="J23" s="1824"/>
      <c r="K23" s="1825"/>
    </row>
    <row r="24" spans="1:33" s="1831" customFormat="1" ht="13.5" customHeight="1">
      <c r="A24" s="1821" t="s">
        <v>1917</v>
      </c>
      <c r="B24" s="1841" t="s">
        <v>900</v>
      </c>
      <c r="C24" s="656">
        <f>ROUND(F24/(1+'数据-取费表'!C42),4)</f>
        <v>0</v>
      </c>
      <c r="D24" s="657" t="s">
        <v>50</v>
      </c>
      <c r="E24" s="657"/>
      <c r="F24" s="1844">
        <f>'数据-取费表'!B48+'数据-取费表'!B49</f>
        <v>0</v>
      </c>
      <c r="G24" s="2023" t="s">
        <v>2944</v>
      </c>
      <c r="H24" s="1846"/>
      <c r="I24" s="1846"/>
      <c r="J24" s="1846"/>
      <c r="K24" s="1847"/>
    </row>
    <row r="25" spans="1:33" s="1831" customFormat="1" ht="13.5" customHeight="1">
      <c r="A25" s="1821" t="s">
        <v>1918</v>
      </c>
      <c r="B25" s="1843" t="s">
        <v>901</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1935</v>
      </c>
      <c r="B26" s="1848" t="s">
        <v>902</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1936</v>
      </c>
      <c r="B27" s="1848" t="s">
        <v>2616</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1919</v>
      </c>
      <c r="B28" s="3237" t="s">
        <v>2953</v>
      </c>
      <c r="C28" s="663">
        <f ca="1">C30</f>
        <v>-27</v>
      </c>
      <c r="D28" s="656">
        <f ca="1">C29</f>
        <v>0</v>
      </c>
      <c r="E28" s="658" t="s">
        <v>50</v>
      </c>
      <c r="F28" s="664">
        <f ca="1">IF(C1="",'数据-取费表'!Q16,INDIRECT("'数据-取费表'!q"&amp;$K$1))</f>
        <v>0.2</v>
      </c>
      <c r="G28" s="1845"/>
      <c r="H28" s="1846"/>
      <c r="I28" s="1846"/>
      <c r="J28" s="1846"/>
      <c r="K28" s="1847"/>
    </row>
    <row r="29" spans="1:33" s="667" customFormat="1" ht="13.5" customHeight="1">
      <c r="A29" s="1827" t="s">
        <v>1935</v>
      </c>
      <c r="B29" s="1850" t="s">
        <v>903</v>
      </c>
      <c r="C29" s="660">
        <f ca="1">ROUND((1+C24)*F28*'数据-取费表'!B24/'数据-取费表'!B20,4)</f>
        <v>0</v>
      </c>
      <c r="D29" s="660"/>
      <c r="E29" s="661"/>
      <c r="F29" s="666"/>
      <c r="G29" s="471" t="s">
        <v>904</v>
      </c>
      <c r="H29" s="1835"/>
      <c r="I29" s="1835"/>
      <c r="J29" s="1835"/>
      <c r="K29" s="1836"/>
    </row>
    <row r="30" spans="1:33" s="667" customFormat="1" ht="13.5" customHeight="1">
      <c r="A30" s="1827" t="s">
        <v>1936</v>
      </c>
      <c r="B30" s="2710" t="s">
        <v>2617</v>
      </c>
      <c r="C30" s="668">
        <f ca="1">ROUND((C21+C22+C23)*F28,0)</f>
        <v>-27</v>
      </c>
      <c r="D30" s="660"/>
      <c r="E30" s="661"/>
      <c r="F30" s="666"/>
      <c r="G30" s="471"/>
      <c r="H30" s="1835"/>
      <c r="I30" s="1835"/>
      <c r="J30" s="1835"/>
      <c r="K30" s="1836"/>
    </row>
    <row r="31" spans="1:33" s="1831" customFormat="1" ht="13.5" customHeight="1" thickBot="1">
      <c r="A31" s="1862" t="s">
        <v>1920</v>
      </c>
      <c r="B31" s="1863" t="s">
        <v>905</v>
      </c>
      <c r="C31" s="1864">
        <f>ROUND(C4*F31/(1+'数据-取费表'!C42),0)</f>
        <v>0</v>
      </c>
      <c r="D31" s="1865"/>
      <c r="E31" s="1866"/>
      <c r="F31" s="1867">
        <f>'数据-取费表'!B41</f>
        <v>5.3500000000000006E-2</v>
      </c>
      <c r="G31" s="1868" t="s">
        <v>906</v>
      </c>
      <c r="H31" s="1869"/>
      <c r="I31" s="1869"/>
      <c r="J31" s="1869"/>
      <c r="K31" s="1870"/>
    </row>
    <row r="32" spans="1:33" s="1826" customFormat="1" ht="13.5" customHeight="1" thickBot="1">
      <c r="A32" s="1857" t="s">
        <v>2945</v>
      </c>
      <c r="B32" s="1858"/>
      <c r="C32" s="1859">
        <f ca="1">ROUND((C4-C21-C22-C23-C25-C28-C31)/(1+C24+D25+D28),0)</f>
        <v>161</v>
      </c>
      <c r="D32" s="1858"/>
      <c r="E32" s="1858"/>
      <c r="F32" s="1858"/>
      <c r="G32" s="1860" t="s">
        <v>907</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22" zoomScale="90" zoomScaleNormal="90" workbookViewId="0">
      <selection activeCell="K43" sqref="K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v>
      </c>
      <c r="B1" s="3102" t="s">
        <v>1</v>
      </c>
      <c r="C1" s="3103" t="s">
        <v>126</v>
      </c>
      <c r="D1" s="3104" t="s">
        <v>3042</v>
      </c>
      <c r="E1" s="3107"/>
      <c r="F1" s="3106" t="s">
        <v>2695</v>
      </c>
      <c r="G1" s="3108" t="s">
        <v>127</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171</v>
      </c>
      <c r="B2" s="2845">
        <f>IF(C2="——",ROUND(C49*D3/10000,0),ROUND(C49*D3/10000,0)-D2)</f>
        <v>0</v>
      </c>
      <c r="C2" s="3098" t="s">
        <v>528</v>
      </c>
      <c r="D2" s="2725">
        <f ca="1">SUMIF(INDIRECT("'"&amp;F2&amp;"'"&amp;"!A:A"),"承租人权益价值",INDIRECT("'"&amp;F2&amp;"'"&amp;"!c:c"))</f>
        <v>0</v>
      </c>
      <c r="E2" s="3099" t="s">
        <v>867</v>
      </c>
      <c r="F2" s="3100" t="s">
        <v>3074</v>
      </c>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172</v>
      </c>
      <c r="B3" s="952">
        <f>IF(C2="——",C49,ROUND(B2*10000/D3,0))</f>
        <v>76340</v>
      </c>
      <c r="C3" s="142" t="s">
        <v>166</v>
      </c>
      <c r="D3" s="742">
        <f>IF(D1="",'数据-汇总表'!E3,SUMIF('数据-汇总表'!$C19:$C33,D1,'数据-汇总表'!$E19:$E33))</f>
        <v>0</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46" t="s">
        <v>54</v>
      </c>
      <c r="D4" s="3647"/>
      <c r="E4" s="3648" t="s">
        <v>55</v>
      </c>
      <c r="F4" s="3649"/>
      <c r="G4" s="3646" t="s">
        <v>56</v>
      </c>
      <c r="H4" s="3647"/>
      <c r="I4" s="3646" t="s">
        <v>57</v>
      </c>
      <c r="J4" s="3647"/>
      <c r="K4" s="187" t="s">
        <v>58</v>
      </c>
      <c r="L4" s="2296"/>
      <c r="M4" s="2297"/>
      <c r="N4" s="2297"/>
      <c r="O4" s="2297"/>
      <c r="P4" s="3650" t="s">
        <v>53</v>
      </c>
      <c r="Q4" s="3651"/>
      <c r="R4" s="3656" t="s">
        <v>55</v>
      </c>
      <c r="S4" s="3657"/>
      <c r="T4" s="3656" t="s">
        <v>56</v>
      </c>
      <c r="U4" s="3657"/>
      <c r="V4" s="3641" t="s">
        <v>57</v>
      </c>
      <c r="W4" s="3641"/>
      <c r="X4" s="1340"/>
      <c r="Y4" s="3656" t="s">
        <v>53</v>
      </c>
      <c r="Z4" s="3657"/>
      <c r="AA4" s="3643" t="s">
        <v>55</v>
      </c>
      <c r="AB4" s="3641" t="s">
        <v>56</v>
      </c>
      <c r="AC4" s="3643" t="s">
        <v>57</v>
      </c>
    </row>
    <row r="5" spans="1:29">
      <c r="A5" s="146"/>
      <c r="B5" s="147"/>
      <c r="C5" s="3664" t="s">
        <v>59</v>
      </c>
      <c r="D5" s="3665"/>
      <c r="E5" s="3671" t="s">
        <v>3141</v>
      </c>
      <c r="F5" s="3672"/>
      <c r="G5" s="3664" t="s">
        <v>3143</v>
      </c>
      <c r="H5" s="3665"/>
      <c r="I5" s="3664" t="s">
        <v>3213</v>
      </c>
      <c r="J5" s="3665"/>
      <c r="K5" s="187"/>
      <c r="L5" s="2296"/>
      <c r="M5" s="2297"/>
      <c r="N5" s="2297"/>
      <c r="O5" s="2297"/>
      <c r="P5" s="3652"/>
      <c r="Q5" s="3653"/>
      <c r="R5" s="3658"/>
      <c r="S5" s="3659"/>
      <c r="T5" s="3658"/>
      <c r="U5" s="3659"/>
      <c r="V5" s="3641"/>
      <c r="W5" s="3641"/>
      <c r="X5" s="1340"/>
      <c r="Y5" s="3658"/>
      <c r="Z5" s="3659"/>
      <c r="AA5" s="3644"/>
      <c r="AB5" s="3641"/>
      <c r="AC5" s="3644"/>
    </row>
    <row r="6" spans="1:29" ht="14.25" thickBot="1">
      <c r="A6" s="148"/>
      <c r="B6" s="149"/>
      <c r="C6" s="3662" t="s">
        <v>61</v>
      </c>
      <c r="D6" s="3663"/>
      <c r="E6" s="3669" t="s">
        <v>3142</v>
      </c>
      <c r="F6" s="3670"/>
      <c r="G6" s="3662" t="s">
        <v>3144</v>
      </c>
      <c r="H6" s="3663"/>
      <c r="I6" s="3662" t="s">
        <v>3145</v>
      </c>
      <c r="J6" s="3663"/>
      <c r="K6" s="187" t="s">
        <v>115</v>
      </c>
      <c r="L6" s="2296"/>
      <c r="M6" s="2297"/>
      <c r="N6" s="2297"/>
      <c r="O6" s="2297"/>
      <c r="P6" s="3654"/>
      <c r="Q6" s="3655"/>
      <c r="R6" s="3658"/>
      <c r="S6" s="3659"/>
      <c r="T6" s="3660"/>
      <c r="U6" s="3661"/>
      <c r="V6" s="3641"/>
      <c r="W6" s="3641"/>
      <c r="X6" s="1340"/>
      <c r="Y6" s="3660"/>
      <c r="Z6" s="3661"/>
      <c r="AA6" s="3645"/>
      <c r="AB6" s="3641"/>
      <c r="AC6" s="3645"/>
    </row>
    <row r="7" spans="1:29" s="40" customFormat="1" ht="15" thickBot="1">
      <c r="A7" s="1014" t="s">
        <v>62</v>
      </c>
      <c r="B7" s="1015"/>
      <c r="C7" s="1016">
        <f>'数据-取费表'!B2</f>
        <v>42997</v>
      </c>
      <c r="D7" s="754">
        <v>100</v>
      </c>
      <c r="E7" s="1017">
        <v>42979</v>
      </c>
      <c r="F7" s="756">
        <f>SUMIF(58:58,YEAR(E7)&amp;"-"&amp;MONTH(E7),59:59)</f>
        <v>100</v>
      </c>
      <c r="G7" s="1017">
        <v>42979</v>
      </c>
      <c r="H7" s="754">
        <f>SUMIF(58:58,YEAR(G7)&amp;"-"&amp;MONTH(G7),59:59)</f>
        <v>100</v>
      </c>
      <c r="I7" s="1017">
        <v>42979</v>
      </c>
      <c r="J7" s="754">
        <f>SUMIF(58:58,YEAR(I7)&amp;"-"&amp;MONTH(I7),59:59)</f>
        <v>100</v>
      </c>
      <c r="K7" s="1019"/>
      <c r="L7" s="2298"/>
      <c r="M7" s="2260"/>
      <c r="N7" s="2260"/>
      <c r="O7" s="2260"/>
      <c r="P7" s="3666" t="s">
        <v>62</v>
      </c>
      <c r="Q7" s="3668"/>
      <c r="R7" s="1342" t="s">
        <v>63</v>
      </c>
      <c r="S7" s="1343">
        <f t="shared" ref="S7:S15" si="0">F7</f>
        <v>100</v>
      </c>
      <c r="T7" s="1342" t="s">
        <v>63</v>
      </c>
      <c r="U7" s="1343">
        <f t="shared" ref="U7:U15" si="1">H7</f>
        <v>100</v>
      </c>
      <c r="V7" s="1342" t="s">
        <v>63</v>
      </c>
      <c r="W7" s="1343">
        <f t="shared" ref="W7:W15" si="2">J7</f>
        <v>100</v>
      </c>
      <c r="X7" s="287"/>
      <c r="Y7" s="3666" t="s">
        <v>62</v>
      </c>
      <c r="Z7" s="3667"/>
      <c r="AA7" s="1344">
        <f>D7/F7</f>
        <v>1</v>
      </c>
      <c r="AB7" s="1344">
        <f>D7/H7</f>
        <v>1</v>
      </c>
      <c r="AC7" s="1344">
        <f>D7/J7</f>
        <v>1</v>
      </c>
    </row>
    <row r="8" spans="1:29" s="40" customFormat="1" ht="15" thickBot="1">
      <c r="A8" s="1014" t="s">
        <v>64</v>
      </c>
      <c r="B8" s="1015"/>
      <c r="C8" s="1020" t="s">
        <v>114</v>
      </c>
      <c r="D8" s="754">
        <v>100</v>
      </c>
      <c r="E8" s="1020" t="s">
        <v>153</v>
      </c>
      <c r="F8" s="756">
        <f>SUMIF(61:61,E8,62:62)-SUMIF(61:61,C8,62:62)+100</f>
        <v>100</v>
      </c>
      <c r="G8" s="1020" t="s">
        <v>153</v>
      </c>
      <c r="H8" s="754">
        <f>SUMIF(61:61,G8,62:62)-SUMIF(61:61,C8,62:62)+100</f>
        <v>100</v>
      </c>
      <c r="I8" s="1020" t="s">
        <v>153</v>
      </c>
      <c r="J8" s="754">
        <f>SUMIF(61:61,I8,62:62)-SUMIF(61:61,C8,62:62)+100</f>
        <v>100</v>
      </c>
      <c r="K8" s="1019"/>
      <c r="L8" s="2298"/>
      <c r="M8" s="2260"/>
      <c r="N8" s="2260"/>
      <c r="O8" s="2260"/>
      <c r="P8" s="3666" t="s">
        <v>1020</v>
      </c>
      <c r="Q8" s="3667"/>
      <c r="R8" s="1342" t="s">
        <v>63</v>
      </c>
      <c r="S8" s="1343">
        <f t="shared" si="0"/>
        <v>100</v>
      </c>
      <c r="T8" s="1342" t="s">
        <v>63</v>
      </c>
      <c r="U8" s="1343">
        <f t="shared" si="1"/>
        <v>100</v>
      </c>
      <c r="V8" s="1342" t="s">
        <v>63</v>
      </c>
      <c r="W8" s="1343">
        <f t="shared" si="2"/>
        <v>100</v>
      </c>
      <c r="X8" s="287"/>
      <c r="Y8" s="3666" t="s">
        <v>1020</v>
      </c>
      <c r="Z8" s="3667"/>
      <c r="AA8" s="1344">
        <f t="shared" ref="AA8:AA46" si="3">D8/F8</f>
        <v>1</v>
      </c>
      <c r="AB8" s="1344">
        <f t="shared" ref="AB8:AB46" si="4">D8/H8</f>
        <v>1</v>
      </c>
      <c r="AC8" s="1344">
        <f t="shared" ref="AC8:AC46" si="5">D8/J8</f>
        <v>1</v>
      </c>
    </row>
    <row r="9" spans="1:29" s="40" customFormat="1" ht="14.25">
      <c r="A9" s="1021" t="s">
        <v>1021</v>
      </c>
      <c r="B9" s="62" t="s">
        <v>1022</v>
      </c>
      <c r="C9" s="1346" t="s">
        <v>3146</v>
      </c>
      <c r="D9" s="425">
        <v>100</v>
      </c>
      <c r="E9" s="1347" t="s">
        <v>3042</v>
      </c>
      <c r="F9" s="761">
        <f>SUMIF(63:63,E9,64:64)-SUMIF(63:63,C9,64:64)+100</f>
        <v>100</v>
      </c>
      <c r="G9" s="1347" t="s">
        <v>3042</v>
      </c>
      <c r="H9" s="425">
        <f>SUMIF(63:63,G9,64:64)-SUMIF(63:63,C9,64:64)+100</f>
        <v>100</v>
      </c>
      <c r="I9" s="1347" t="s">
        <v>3042</v>
      </c>
      <c r="J9" s="425">
        <f>SUMIF(63:63,I9,64:64)-SUMIF(63:63,C9,64:64)+100</f>
        <v>100</v>
      </c>
      <c r="K9" s="1019"/>
      <c r="L9" s="2298"/>
      <c r="M9" s="2260"/>
      <c r="N9" s="2260"/>
      <c r="O9" s="2260"/>
      <c r="P9" s="3642" t="s">
        <v>65</v>
      </c>
      <c r="Q9" s="7" t="str">
        <f t="shared" ref="Q9:Q15" si="6">B9</f>
        <v>用途</v>
      </c>
      <c r="R9" s="1342" t="s">
        <v>63</v>
      </c>
      <c r="S9" s="1343">
        <f t="shared" si="0"/>
        <v>100</v>
      </c>
      <c r="T9" s="1342" t="s">
        <v>63</v>
      </c>
      <c r="U9" s="1343">
        <f t="shared" si="1"/>
        <v>100</v>
      </c>
      <c r="V9" s="1342" t="s">
        <v>63</v>
      </c>
      <c r="W9" s="1343">
        <f t="shared" si="2"/>
        <v>100</v>
      </c>
      <c r="X9" s="287"/>
      <c r="Y9" s="3473" t="s">
        <v>65</v>
      </c>
      <c r="Z9" s="288" t="str">
        <f t="shared" ref="Z9:Z15" si="7">Q9</f>
        <v>用途</v>
      </c>
      <c r="AA9" s="1344">
        <f t="shared" si="3"/>
        <v>1</v>
      </c>
      <c r="AB9" s="1344">
        <f t="shared" si="4"/>
        <v>1</v>
      </c>
      <c r="AC9" s="1344">
        <f t="shared" si="5"/>
        <v>1</v>
      </c>
    </row>
    <row r="10" spans="1:29" s="92" customFormat="1" ht="27">
      <c r="A10" s="150"/>
      <c r="B10" s="12" t="s">
        <v>104</v>
      </c>
      <c r="C10" s="1349" t="s">
        <v>3147</v>
      </c>
      <c r="D10" s="426">
        <v>100</v>
      </c>
      <c r="E10" s="1350" t="s">
        <v>3147</v>
      </c>
      <c r="F10" s="768">
        <f>SUMIF(65:65,E10,66:66)-SUMIF(65:65,C10,66:66)+100</f>
        <v>100</v>
      </c>
      <c r="G10" s="1349" t="s">
        <v>3147</v>
      </c>
      <c r="H10" s="426">
        <f>SUMIF(65:65,G10,66:66)-SUMIF(65:65,C10,66:66)+100</f>
        <v>100</v>
      </c>
      <c r="I10" s="1349" t="s">
        <v>3147</v>
      </c>
      <c r="J10" s="426">
        <f>SUMIF(65:65,I10,66:66)-SUMIF(65:65,C10,66:66)+100</f>
        <v>100</v>
      </c>
      <c r="K10" s="955">
        <v>1</v>
      </c>
      <c r="L10" s="2299"/>
      <c r="M10" s="2300"/>
      <c r="N10" s="2300"/>
      <c r="O10" s="2300"/>
      <c r="P10" s="3642"/>
      <c r="Q10" s="7" t="str">
        <f t="shared" si="6"/>
        <v>土地使用年限（年）</v>
      </c>
      <c r="R10" s="1342" t="s">
        <v>63</v>
      </c>
      <c r="S10" s="1343">
        <f t="shared" si="0"/>
        <v>100</v>
      </c>
      <c r="T10" s="1342" t="s">
        <v>63</v>
      </c>
      <c r="U10" s="1343">
        <f t="shared" si="1"/>
        <v>100</v>
      </c>
      <c r="V10" s="1342" t="s">
        <v>63</v>
      </c>
      <c r="W10" s="1343">
        <f t="shared" si="2"/>
        <v>100</v>
      </c>
      <c r="X10" s="287"/>
      <c r="Y10" s="3473"/>
      <c r="Z10" s="288" t="str">
        <f t="shared" si="7"/>
        <v>土地使用年限（年）</v>
      </c>
      <c r="AA10" s="1344">
        <f t="shared" si="3"/>
        <v>1</v>
      </c>
      <c r="AB10" s="1344">
        <f t="shared" si="4"/>
        <v>1</v>
      </c>
      <c r="AC10" s="1344">
        <f t="shared" si="5"/>
        <v>1</v>
      </c>
    </row>
    <row r="11" spans="1:29" ht="15">
      <c r="A11" s="151"/>
      <c r="B11" s="12" t="s">
        <v>91</v>
      </c>
      <c r="C11" s="772"/>
      <c r="D11" s="426">
        <v>100</v>
      </c>
      <c r="E11" s="773"/>
      <c r="F11" s="768">
        <f>LOOKUP(E11,68:68,69:69)-LOOKUP(C11,68:68,69:69)+100</f>
        <v>100</v>
      </c>
      <c r="G11" s="772"/>
      <c r="H11" s="426">
        <f>LOOKUP(G11,68:68,69:69)-LOOKUP(C11,68:68,69:69)+100</f>
        <v>100</v>
      </c>
      <c r="I11" s="772"/>
      <c r="J11" s="426">
        <f>LOOKUP(I11,68:68,69:69)-LOOKUP(C11,68:68,69:69)+100</f>
        <v>100</v>
      </c>
      <c r="K11" s="955">
        <v>2</v>
      </c>
      <c r="L11" s="2301"/>
      <c r="M11" s="2297"/>
      <c r="N11" s="2297"/>
      <c r="O11" s="2297"/>
      <c r="P11" s="3642"/>
      <c r="Q11" s="7" t="str">
        <f t="shared" si="6"/>
        <v>容积率</v>
      </c>
      <c r="R11" s="1342" t="s">
        <v>63</v>
      </c>
      <c r="S11" s="1343">
        <f t="shared" si="0"/>
        <v>100</v>
      </c>
      <c r="T11" s="1342" t="s">
        <v>63</v>
      </c>
      <c r="U11" s="1343">
        <f t="shared" si="1"/>
        <v>100</v>
      </c>
      <c r="V11" s="1342" t="s">
        <v>63</v>
      </c>
      <c r="W11" s="1343">
        <f t="shared" si="2"/>
        <v>100</v>
      </c>
      <c r="X11" s="287"/>
      <c r="Y11" s="3473"/>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42"/>
      <c r="Q12" s="7">
        <f t="shared" si="6"/>
        <v>111</v>
      </c>
      <c r="R12" s="1342" t="s">
        <v>63</v>
      </c>
      <c r="S12" s="1343">
        <f t="shared" si="0"/>
        <v>100</v>
      </c>
      <c r="T12" s="1342" t="s">
        <v>63</v>
      </c>
      <c r="U12" s="1343">
        <f t="shared" si="1"/>
        <v>100</v>
      </c>
      <c r="V12" s="1342" t="s">
        <v>63</v>
      </c>
      <c r="W12" s="1343">
        <f t="shared" si="2"/>
        <v>100</v>
      </c>
      <c r="X12" s="287"/>
      <c r="Y12" s="347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42"/>
      <c r="Q13" s="7">
        <f t="shared" si="6"/>
        <v>111</v>
      </c>
      <c r="R13" s="1342" t="s">
        <v>63</v>
      </c>
      <c r="S13" s="1343">
        <f t="shared" si="0"/>
        <v>100</v>
      </c>
      <c r="T13" s="1342" t="s">
        <v>63</v>
      </c>
      <c r="U13" s="1343">
        <f t="shared" si="1"/>
        <v>100</v>
      </c>
      <c r="V13" s="1342" t="s">
        <v>63</v>
      </c>
      <c r="W13" s="1343">
        <f t="shared" si="2"/>
        <v>100</v>
      </c>
      <c r="X13" s="287"/>
      <c r="Y13" s="347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42"/>
      <c r="Q14" s="7">
        <f t="shared" si="6"/>
        <v>111</v>
      </c>
      <c r="R14" s="1342" t="s">
        <v>63</v>
      </c>
      <c r="S14" s="1343">
        <f t="shared" si="0"/>
        <v>100</v>
      </c>
      <c r="T14" s="1342" t="s">
        <v>63</v>
      </c>
      <c r="U14" s="1343">
        <f t="shared" si="1"/>
        <v>100</v>
      </c>
      <c r="V14" s="1342" t="s">
        <v>63</v>
      </c>
      <c r="W14" s="1343">
        <f t="shared" si="2"/>
        <v>100</v>
      </c>
      <c r="X14" s="287"/>
      <c r="Y14" s="3473"/>
      <c r="Z14" s="288">
        <f t="shared" si="7"/>
        <v>111</v>
      </c>
      <c r="AA14" s="1344">
        <f t="shared" si="3"/>
        <v>1</v>
      </c>
      <c r="AB14" s="1344">
        <f t="shared" si="4"/>
        <v>1</v>
      </c>
      <c r="AC14" s="1344">
        <f t="shared" si="5"/>
        <v>1</v>
      </c>
    </row>
    <row r="15" spans="1:29" ht="67.5">
      <c r="A15" s="155" t="s">
        <v>67</v>
      </c>
      <c r="B15" s="58" t="s">
        <v>128</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t="s">
        <v>3180</v>
      </c>
      <c r="J15" s="784">
        <f>SUMIF(76:76,I16,77:77)-SUMIF(76:76,C16,77:77)+100</f>
        <v>103</v>
      </c>
      <c r="K15" s="957">
        <v>3</v>
      </c>
      <c r="L15" s="2302"/>
      <c r="M15" s="2297"/>
      <c r="N15" s="2297"/>
      <c r="O15" s="2297"/>
      <c r="P15" s="3632" t="s">
        <v>67</v>
      </c>
      <c r="Q15" s="1351" t="str">
        <f t="shared" si="6"/>
        <v>商业繁华度</v>
      </c>
      <c r="R15" s="1352" t="s">
        <v>63</v>
      </c>
      <c r="S15" s="1353">
        <f t="shared" si="0"/>
        <v>100</v>
      </c>
      <c r="T15" s="1352" t="s">
        <v>63</v>
      </c>
      <c r="U15" s="1353">
        <f t="shared" si="1"/>
        <v>100</v>
      </c>
      <c r="V15" s="1352" t="s">
        <v>63</v>
      </c>
      <c r="W15" s="1353">
        <f t="shared" si="2"/>
        <v>103</v>
      </c>
      <c r="X15" s="1340"/>
      <c r="Y15" s="3634" t="s">
        <v>67</v>
      </c>
      <c r="Z15" s="1354" t="str">
        <f t="shared" si="7"/>
        <v>商业繁华度</v>
      </c>
      <c r="AA15" s="1355">
        <f t="shared" si="3"/>
        <v>1</v>
      </c>
      <c r="AB15" s="1355">
        <f t="shared" si="4"/>
        <v>1</v>
      </c>
      <c r="AC15" s="1355">
        <f t="shared" si="5"/>
        <v>0.970873786407767</v>
      </c>
    </row>
    <row r="16" spans="1:29" ht="14.25">
      <c r="A16" s="151"/>
      <c r="B16" s="156"/>
      <c r="C16" s="97" t="s">
        <v>3178</v>
      </c>
      <c r="D16" s="791"/>
      <c r="E16" s="97" t="s">
        <v>3178</v>
      </c>
      <c r="F16" s="792"/>
      <c r="G16" s="97" t="s">
        <v>3178</v>
      </c>
      <c r="H16" s="793"/>
      <c r="I16" s="97" t="s">
        <v>3179</v>
      </c>
      <c r="J16" s="791"/>
      <c r="K16" s="189"/>
      <c r="L16" s="2302"/>
      <c r="M16" s="2297"/>
      <c r="N16" s="2297"/>
      <c r="O16" s="2297"/>
      <c r="P16" s="3633"/>
      <c r="Q16" s="1351"/>
      <c r="R16" s="1352"/>
      <c r="S16" s="1353"/>
      <c r="T16" s="1352"/>
      <c r="U16" s="1353"/>
      <c r="V16" s="1352"/>
      <c r="W16" s="1353"/>
      <c r="X16" s="1340"/>
      <c r="Y16" s="3635"/>
      <c r="Z16" s="1354"/>
      <c r="AA16" s="1355">
        <v>1</v>
      </c>
      <c r="AB16" s="1355">
        <v>1</v>
      </c>
      <c r="AC16" s="1355">
        <v>1</v>
      </c>
    </row>
    <row r="17" spans="1:29" ht="81">
      <c r="A17" s="151"/>
      <c r="B17" s="1356" t="s">
        <v>70</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t="s">
        <v>3181</v>
      </c>
      <c r="J17" s="798">
        <f>SUMIF(78:78,I18,79:79)-SUMIF(78:78,C18,79:79)+100</f>
        <v>102</v>
      </c>
      <c r="K17" s="957">
        <v>2</v>
      </c>
      <c r="L17" s="2302"/>
      <c r="M17" s="2297"/>
      <c r="N17" s="2297"/>
      <c r="O17" s="2297"/>
      <c r="P17" s="3633"/>
      <c r="Q17" s="1351" t="str">
        <f>B17</f>
        <v>交通便捷度</v>
      </c>
      <c r="R17" s="1352" t="s">
        <v>63</v>
      </c>
      <c r="S17" s="1353">
        <f>F17</f>
        <v>100</v>
      </c>
      <c r="T17" s="1352" t="s">
        <v>63</v>
      </c>
      <c r="U17" s="1353">
        <f>H17</f>
        <v>100</v>
      </c>
      <c r="V17" s="1352" t="s">
        <v>63</v>
      </c>
      <c r="W17" s="1353">
        <f>J17</f>
        <v>102</v>
      </c>
      <c r="X17" s="1340"/>
      <c r="Y17" s="3635"/>
      <c r="Z17" s="1354" t="str">
        <f>Q17</f>
        <v>交通便捷度</v>
      </c>
      <c r="AA17" s="1355">
        <f t="shared" si="3"/>
        <v>1</v>
      </c>
      <c r="AB17" s="1355">
        <f t="shared" si="4"/>
        <v>1</v>
      </c>
      <c r="AC17" s="1355">
        <f t="shared" si="5"/>
        <v>0.98039215686274506</v>
      </c>
    </row>
    <row r="18" spans="1:29" ht="14.25">
      <c r="A18" s="151"/>
      <c r="B18" s="1040"/>
      <c r="C18" s="102" t="s">
        <v>3178</v>
      </c>
      <c r="D18" s="793"/>
      <c r="E18" s="103" t="s">
        <v>3178</v>
      </c>
      <c r="F18" s="796"/>
      <c r="G18" s="104" t="s">
        <v>3178</v>
      </c>
      <c r="H18" s="791"/>
      <c r="I18" s="103" t="s">
        <v>3179</v>
      </c>
      <c r="J18" s="791"/>
      <c r="K18" s="189"/>
      <c r="L18" s="2302"/>
      <c r="M18" s="2297"/>
      <c r="N18" s="2297"/>
      <c r="O18" s="2297"/>
      <c r="P18" s="3633"/>
      <c r="Q18" s="1351"/>
      <c r="R18" s="1352"/>
      <c r="S18" s="1353"/>
      <c r="T18" s="1352"/>
      <c r="U18" s="1353"/>
      <c r="V18" s="1352"/>
      <c r="W18" s="1353"/>
      <c r="X18" s="1340"/>
      <c r="Y18" s="3635"/>
      <c r="Z18" s="1354"/>
      <c r="AA18" s="1355">
        <v>1</v>
      </c>
      <c r="AB18" s="1355">
        <v>1</v>
      </c>
      <c r="AC18" s="1355">
        <v>1</v>
      </c>
    </row>
    <row r="19" spans="1:29" ht="40.5">
      <c r="A19" s="151"/>
      <c r="B19" s="1356" t="s">
        <v>2651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v>2</v>
      </c>
      <c r="L19" s="2302"/>
      <c r="M19" s="2297"/>
      <c r="N19" s="2297"/>
      <c r="O19" s="2297"/>
      <c r="P19" s="3633"/>
      <c r="Q19" s="1351" t="str">
        <f>B19</f>
        <v>公共配套设施</v>
      </c>
      <c r="R19" s="1352" t="s">
        <v>63</v>
      </c>
      <c r="S19" s="1353">
        <f>F19</f>
        <v>100</v>
      </c>
      <c r="T19" s="1352" t="s">
        <v>63</v>
      </c>
      <c r="U19" s="1353">
        <f>H19</f>
        <v>100</v>
      </c>
      <c r="V19" s="1352" t="s">
        <v>63</v>
      </c>
      <c r="W19" s="1353">
        <f>J19</f>
        <v>100</v>
      </c>
      <c r="X19" s="1340"/>
      <c r="Y19" s="3635"/>
      <c r="Z19" s="1354" t="str">
        <f>Q19</f>
        <v>公共配套设施</v>
      </c>
      <c r="AA19" s="1355">
        <f t="shared" si="3"/>
        <v>1</v>
      </c>
      <c r="AB19" s="1355">
        <f t="shared" si="4"/>
        <v>1</v>
      </c>
      <c r="AC19" s="1355">
        <f t="shared" si="5"/>
        <v>1</v>
      </c>
    </row>
    <row r="20" spans="1:29" ht="14.25">
      <c r="A20" s="151"/>
      <c r="B20" s="1040"/>
      <c r="C20" s="97" t="s">
        <v>3179</v>
      </c>
      <c r="D20" s="791"/>
      <c r="E20" s="98" t="s">
        <v>3179</v>
      </c>
      <c r="F20" s="792"/>
      <c r="G20" s="99" t="s">
        <v>3179</v>
      </c>
      <c r="H20" s="791"/>
      <c r="I20" s="98" t="s">
        <v>3179</v>
      </c>
      <c r="J20" s="791"/>
      <c r="K20" s="189"/>
      <c r="L20" s="2302"/>
      <c r="M20" s="2297"/>
      <c r="N20" s="2297"/>
      <c r="O20" s="2297"/>
      <c r="P20" s="3633"/>
      <c r="Q20" s="1351"/>
      <c r="R20" s="1352"/>
      <c r="S20" s="1353"/>
      <c r="T20" s="1352"/>
      <c r="U20" s="1353"/>
      <c r="V20" s="1352"/>
      <c r="W20" s="1353"/>
      <c r="X20" s="1340"/>
      <c r="Y20" s="3635"/>
      <c r="Z20" s="1354"/>
      <c r="AA20" s="1355">
        <v>1</v>
      </c>
      <c r="AB20" s="1355">
        <v>1</v>
      </c>
      <c r="AC20" s="1355">
        <v>1</v>
      </c>
    </row>
    <row r="21" spans="1:29" ht="27">
      <c r="A21" s="151"/>
      <c r="B21" s="1412" t="s">
        <v>2652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v>2</v>
      </c>
      <c r="L21" s="2302"/>
      <c r="M21" s="2297"/>
      <c r="N21" s="2297"/>
      <c r="O21" s="2297"/>
      <c r="P21" s="3633"/>
      <c r="Q21" s="2747" t="str">
        <f>B21</f>
        <v>基础设施水平</v>
      </c>
      <c r="R21" s="1352" t="s">
        <v>63</v>
      </c>
      <c r="S21" s="1353">
        <f>F21</f>
        <v>100</v>
      </c>
      <c r="T21" s="1352" t="s">
        <v>63</v>
      </c>
      <c r="U21" s="1353">
        <f>H21</f>
        <v>100</v>
      </c>
      <c r="V21" s="1352" t="s">
        <v>63</v>
      </c>
      <c r="W21" s="1353">
        <f>J21</f>
        <v>100</v>
      </c>
      <c r="X21" s="2749"/>
      <c r="Y21" s="3635"/>
      <c r="Z21" s="2748" t="str">
        <f>Q21</f>
        <v>基础设施水平</v>
      </c>
      <c r="AA21" s="1355">
        <f t="shared" ref="AA21" si="8">D21/F21</f>
        <v>1</v>
      </c>
      <c r="AB21" s="1355">
        <f t="shared" ref="AB21" si="9">D21/H21</f>
        <v>1</v>
      </c>
      <c r="AC21" s="1355">
        <f t="shared" ref="AC21" si="10">D21/J21</f>
        <v>1</v>
      </c>
    </row>
    <row r="22" spans="1:29" ht="14.25">
      <c r="A22" s="151"/>
      <c r="B22" s="1412"/>
      <c r="C22" s="102" t="s">
        <v>3182</v>
      </c>
      <c r="D22" s="791"/>
      <c r="E22" s="97" t="s">
        <v>3182</v>
      </c>
      <c r="F22" s="792"/>
      <c r="G22" s="97" t="s">
        <v>3182</v>
      </c>
      <c r="H22" s="791"/>
      <c r="I22" s="97" t="s">
        <v>3182</v>
      </c>
      <c r="J22" s="791"/>
      <c r="K22" s="2767"/>
      <c r="L22" s="2302"/>
      <c r="M22" s="2297"/>
      <c r="N22" s="2297"/>
      <c r="O22" s="2297"/>
      <c r="P22" s="3633"/>
      <c r="Q22" s="2747"/>
      <c r="R22" s="1352"/>
      <c r="S22" s="1353"/>
      <c r="T22" s="1352"/>
      <c r="U22" s="1353"/>
      <c r="V22" s="1352"/>
      <c r="W22" s="1353"/>
      <c r="X22" s="2749"/>
      <c r="Y22" s="3635"/>
      <c r="Z22" s="2748"/>
      <c r="AA22" s="1355">
        <v>1</v>
      </c>
      <c r="AB22" s="1355">
        <v>1</v>
      </c>
      <c r="AC22" s="1355">
        <v>1</v>
      </c>
    </row>
    <row r="23" spans="1:29" ht="54">
      <c r="A23" s="151"/>
      <c r="B23" s="1356" t="s">
        <v>71</v>
      </c>
      <c r="C23" s="190" t="str">
        <f>估价对象房地状况!C9</f>
        <v>区域自然环境：；人文环境；综合评价环境状况一般</v>
      </c>
      <c r="D23" s="793">
        <v>100</v>
      </c>
      <c r="E23" s="100"/>
      <c r="F23" s="796">
        <f>SUMIF(84:84,E24,85:85)-SUMIF(84:84,C24,85:85)+100</f>
        <v>100</v>
      </c>
      <c r="G23" s="101"/>
      <c r="H23" s="793">
        <f>SUMIF(84:84,G24,85:85)-SUMIF(84:84,C24,85:85)+100</f>
        <v>102</v>
      </c>
      <c r="I23" s="100"/>
      <c r="J23" s="793">
        <f>SUMIF(84:84,I24,85:85)-SUMIF(84:84,C24,85:85)+100</f>
        <v>100</v>
      </c>
      <c r="K23" s="957">
        <v>2</v>
      </c>
      <c r="L23" s="2302"/>
      <c r="M23" s="2297"/>
      <c r="N23" s="2297"/>
      <c r="O23" s="2297"/>
      <c r="P23" s="3633"/>
      <c r="Q23" s="1351" t="str">
        <f>B23</f>
        <v>自然及人文环境</v>
      </c>
      <c r="R23" s="1352" t="s">
        <v>63</v>
      </c>
      <c r="S23" s="1353">
        <f>F23</f>
        <v>100</v>
      </c>
      <c r="T23" s="1352" t="s">
        <v>63</v>
      </c>
      <c r="U23" s="1353">
        <f>H23</f>
        <v>102</v>
      </c>
      <c r="V23" s="1352" t="s">
        <v>63</v>
      </c>
      <c r="W23" s="1353">
        <f>J23</f>
        <v>100</v>
      </c>
      <c r="X23" s="1340"/>
      <c r="Y23" s="3635"/>
      <c r="Z23" s="1354" t="str">
        <f>Q23</f>
        <v>自然及人文环境</v>
      </c>
      <c r="AA23" s="1355">
        <f t="shared" si="3"/>
        <v>1</v>
      </c>
      <c r="AB23" s="1355">
        <f t="shared" si="4"/>
        <v>0.98039215686274506</v>
      </c>
      <c r="AC23" s="1355">
        <f t="shared" si="5"/>
        <v>1</v>
      </c>
    </row>
    <row r="24" spans="1:29" ht="14.25">
      <c r="A24" s="151"/>
      <c r="B24" s="1040"/>
      <c r="C24" s="97" t="s">
        <v>3178</v>
      </c>
      <c r="D24" s="791"/>
      <c r="E24" s="98" t="s">
        <v>3178</v>
      </c>
      <c r="F24" s="792"/>
      <c r="G24" s="99" t="s">
        <v>3179</v>
      </c>
      <c r="H24" s="791"/>
      <c r="I24" s="98" t="s">
        <v>3178</v>
      </c>
      <c r="J24" s="791"/>
      <c r="K24" s="189"/>
      <c r="L24" s="2302"/>
      <c r="M24" s="2297"/>
      <c r="N24" s="2297"/>
      <c r="O24" s="2297"/>
      <c r="P24" s="3633"/>
      <c r="Q24" s="1351"/>
      <c r="R24" s="1352"/>
      <c r="S24" s="1353"/>
      <c r="T24" s="1352"/>
      <c r="U24" s="1353"/>
      <c r="V24" s="1352"/>
      <c r="W24" s="1353"/>
      <c r="X24" s="1340"/>
      <c r="Y24" s="3635"/>
      <c r="Z24" s="1354"/>
      <c r="AA24" s="1355">
        <v>1</v>
      </c>
      <c r="AB24" s="1355">
        <v>1</v>
      </c>
      <c r="AC24" s="1355">
        <v>1</v>
      </c>
    </row>
    <row r="25" spans="1:29" ht="15">
      <c r="A25" s="151"/>
      <c r="B25" s="12" t="s">
        <v>129</v>
      </c>
      <c r="C25" s="182" t="s">
        <v>3183</v>
      </c>
      <c r="D25" s="778">
        <v>100</v>
      </c>
      <c r="E25" s="182" t="s">
        <v>3184</v>
      </c>
      <c r="F25" s="804">
        <f>SUMIF(86:86,E25,87:87)-SUMIF(86:86,C25,87:87)+100</f>
        <v>103</v>
      </c>
      <c r="G25" s="182" t="s">
        <v>3183</v>
      </c>
      <c r="H25" s="778">
        <f>SUMIF(86:86,G25,87:87)-SUMIF(86:86,C25,87:87)+100</f>
        <v>100</v>
      </c>
      <c r="I25" s="182" t="s">
        <v>3183</v>
      </c>
      <c r="J25" s="778">
        <f>SUMIF(86:86,I25,87:87)-SUMIF(86:86,C25,87:87)+100</f>
        <v>100</v>
      </c>
      <c r="K25" s="955">
        <v>3</v>
      </c>
      <c r="L25" s="2302"/>
      <c r="M25" s="2297"/>
      <c r="N25" s="2297"/>
      <c r="O25" s="2297"/>
      <c r="P25" s="3633"/>
      <c r="Q25" s="1351" t="str">
        <f t="shared" ref="Q25:Q46" si="11">B25</f>
        <v>临街状况</v>
      </c>
      <c r="R25" s="1352" t="s">
        <v>63</v>
      </c>
      <c r="S25" s="1353">
        <f>F25</f>
        <v>103</v>
      </c>
      <c r="T25" s="1352" t="s">
        <v>63</v>
      </c>
      <c r="U25" s="1353">
        <f>H25</f>
        <v>100</v>
      </c>
      <c r="V25" s="1352" t="s">
        <v>63</v>
      </c>
      <c r="W25" s="1353">
        <f>J25</f>
        <v>100</v>
      </c>
      <c r="X25" s="1340"/>
      <c r="Y25" s="3635"/>
      <c r="Z25" s="1354" t="str">
        <f>Q25</f>
        <v>临街状况</v>
      </c>
      <c r="AA25" s="1355">
        <f t="shared" si="3"/>
        <v>0.970873786407767</v>
      </c>
      <c r="AB25" s="1355">
        <f t="shared" si="4"/>
        <v>1</v>
      </c>
      <c r="AC25" s="1355">
        <f t="shared" si="5"/>
        <v>1</v>
      </c>
    </row>
    <row r="26" spans="1:29" ht="14.25">
      <c r="A26" s="151"/>
      <c r="B26" s="1357" t="s">
        <v>1023</v>
      </c>
      <c r="C26" s="93" t="s">
        <v>3197</v>
      </c>
      <c r="D26" s="778">
        <v>100</v>
      </c>
      <c r="E26" s="93" t="s">
        <v>3186</v>
      </c>
      <c r="F26" s="804">
        <f>SUMIF(88:88,E26,89:89)-SUMIF(88:88,C26,89:89)+100</f>
        <v>100</v>
      </c>
      <c r="G26" s="93" t="s">
        <v>3185</v>
      </c>
      <c r="H26" s="778">
        <f>SUMIF(88:88,G26,89:89)-SUMIF(88:88,C26,89:89)+100</f>
        <v>98</v>
      </c>
      <c r="I26" s="93" t="s">
        <v>3185</v>
      </c>
      <c r="J26" s="778">
        <f>SUMIF(88:88,I26,89:89)-SUMIF(88:88,C26,89:89)+100</f>
        <v>98</v>
      </c>
      <c r="K26" s="188"/>
      <c r="L26" s="2302"/>
      <c r="M26" s="2297"/>
      <c r="N26" s="2297"/>
      <c r="O26" s="2297"/>
      <c r="P26" s="3633"/>
      <c r="Q26" s="1351" t="str">
        <f t="shared" si="11"/>
        <v>平面位置/可视性</v>
      </c>
      <c r="R26" s="1352" t="s">
        <v>63</v>
      </c>
      <c r="S26" s="1353">
        <f>F26</f>
        <v>100</v>
      </c>
      <c r="T26" s="1352" t="s">
        <v>63</v>
      </c>
      <c r="U26" s="1353">
        <f>H26</f>
        <v>98</v>
      </c>
      <c r="V26" s="1352" t="s">
        <v>63</v>
      </c>
      <c r="W26" s="1353">
        <f>J26</f>
        <v>98</v>
      </c>
      <c r="X26" s="1340"/>
      <c r="Y26" s="3635"/>
      <c r="Z26" s="1354" t="str">
        <f>Q26</f>
        <v>平面位置/可视性</v>
      </c>
      <c r="AA26" s="1355">
        <f t="shared" si="3"/>
        <v>1</v>
      </c>
      <c r="AB26" s="1355">
        <f t="shared" si="4"/>
        <v>1.0204081632653061</v>
      </c>
      <c r="AC26" s="1355">
        <f t="shared" si="5"/>
        <v>1.0204081632653061</v>
      </c>
    </row>
    <row r="27" spans="1:29" s="40" customFormat="1" ht="15">
      <c r="A27" s="1030"/>
      <c r="B27" s="1356" t="s">
        <v>1024</v>
      </c>
      <c r="C27" s="1387" t="s">
        <v>3187</v>
      </c>
      <c r="D27" s="805">
        <v>100</v>
      </c>
      <c r="E27" s="1387" t="s">
        <v>3187</v>
      </c>
      <c r="F27" s="807">
        <f>SUMIF(90:90,E27,91:91)-SUMIF(90:90,C27,91:91)+100</f>
        <v>100</v>
      </c>
      <c r="G27" s="1387" t="s">
        <v>3188</v>
      </c>
      <c r="H27" s="805">
        <f>SUMIF(90:90,G27,91:91)-SUMIF(90:90,C27,91:91)+100</f>
        <v>102</v>
      </c>
      <c r="I27" s="1387" t="s">
        <v>3187</v>
      </c>
      <c r="J27" s="805">
        <f>SUMIF(90:90,I27,91:91)-SUMIF(90:90,C27,91:91)+100</f>
        <v>100</v>
      </c>
      <c r="K27" s="955">
        <v>2</v>
      </c>
      <c r="L27" s="2298"/>
      <c r="M27" s="2260"/>
      <c r="N27" s="2260"/>
      <c r="O27" s="2260"/>
      <c r="P27" s="3633"/>
      <c r="Q27" s="7" t="str">
        <f t="shared" si="11"/>
        <v>人流量</v>
      </c>
      <c r="R27" s="1342" t="s">
        <v>63</v>
      </c>
      <c r="S27" s="1343">
        <f>F27</f>
        <v>100</v>
      </c>
      <c r="T27" s="1342" t="s">
        <v>63</v>
      </c>
      <c r="U27" s="1343">
        <f>H27</f>
        <v>102</v>
      </c>
      <c r="V27" s="1342" t="s">
        <v>63</v>
      </c>
      <c r="W27" s="1343">
        <f>J27</f>
        <v>100</v>
      </c>
      <c r="X27" s="287"/>
      <c r="Y27" s="3635"/>
      <c r="Z27" s="288" t="str">
        <f>Q27</f>
        <v>人流量</v>
      </c>
      <c r="AA27" s="1355">
        <f>D27/F27</f>
        <v>1</v>
      </c>
      <c r="AB27" s="1355">
        <f>D27/H27</f>
        <v>0.98039215686274506</v>
      </c>
      <c r="AC27" s="1355">
        <f>D27/J27</f>
        <v>1</v>
      </c>
    </row>
    <row r="28" spans="1:29" ht="14.25">
      <c r="A28" s="151"/>
      <c r="B28" s="12" t="s">
        <v>130</v>
      </c>
      <c r="C28" s="182" t="s">
        <v>3067</v>
      </c>
      <c r="D28" s="778">
        <v>100</v>
      </c>
      <c r="E28" s="182" t="s">
        <v>3067</v>
      </c>
      <c r="F28" s="804">
        <f>SUMIF(92:92,E28,93:93)-SUMIF(92:92,C28,93:93)+100</f>
        <v>100</v>
      </c>
      <c r="G28" s="182" t="s">
        <v>3067</v>
      </c>
      <c r="H28" s="778">
        <f>SUMIF(92:92,G28,93:93)-SUMIF(92:92,C28,93:93)+100</f>
        <v>100</v>
      </c>
      <c r="I28" s="182" t="s">
        <v>3067</v>
      </c>
      <c r="J28" s="778">
        <f>SUMIF(92:92,I28,93:93)-SUMIF(92:92,C28,93:93)+100</f>
        <v>100</v>
      </c>
      <c r="K28" s="188"/>
      <c r="L28" s="2302"/>
      <c r="M28" s="2297"/>
      <c r="N28" s="2297"/>
      <c r="O28" s="2297"/>
      <c r="P28" s="3633"/>
      <c r="Q28" s="1351" t="str">
        <f t="shared" si="11"/>
        <v>楼层</v>
      </c>
      <c r="R28" s="1352" t="s">
        <v>63</v>
      </c>
      <c r="S28" s="1353">
        <f t="shared" ref="S28:S46" si="12">F28</f>
        <v>100</v>
      </c>
      <c r="T28" s="1352" t="s">
        <v>63</v>
      </c>
      <c r="U28" s="1353">
        <f t="shared" ref="U28:U46" si="13">H28</f>
        <v>100</v>
      </c>
      <c r="V28" s="1352" t="s">
        <v>63</v>
      </c>
      <c r="W28" s="1353">
        <f t="shared" ref="W28:W46" si="14">J28</f>
        <v>100</v>
      </c>
      <c r="X28" s="1340"/>
      <c r="Y28" s="363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33"/>
      <c r="Q29" s="1351">
        <f t="shared" si="11"/>
        <v>111</v>
      </c>
      <c r="R29" s="1352" t="s">
        <v>63</v>
      </c>
      <c r="S29" s="1353">
        <f t="shared" si="12"/>
        <v>100</v>
      </c>
      <c r="T29" s="1352" t="s">
        <v>63</v>
      </c>
      <c r="U29" s="1353">
        <f t="shared" si="13"/>
        <v>100</v>
      </c>
      <c r="V29" s="1352" t="s">
        <v>63</v>
      </c>
      <c r="W29" s="1353">
        <f t="shared" si="14"/>
        <v>100</v>
      </c>
      <c r="X29" s="1340"/>
      <c r="Y29" s="363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33"/>
      <c r="Q30" s="1351">
        <f t="shared" si="11"/>
        <v>111</v>
      </c>
      <c r="R30" s="1352" t="s">
        <v>63</v>
      </c>
      <c r="S30" s="1353">
        <f t="shared" si="12"/>
        <v>100</v>
      </c>
      <c r="T30" s="1352" t="s">
        <v>63</v>
      </c>
      <c r="U30" s="1353">
        <f t="shared" si="13"/>
        <v>100</v>
      </c>
      <c r="V30" s="1352" t="s">
        <v>63</v>
      </c>
      <c r="W30" s="1353">
        <f t="shared" si="14"/>
        <v>100</v>
      </c>
      <c r="X30" s="1340"/>
      <c r="Y30" s="363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33"/>
      <c r="Q31" s="1351">
        <f t="shared" si="11"/>
        <v>111</v>
      </c>
      <c r="R31" s="1352" t="s">
        <v>63</v>
      </c>
      <c r="S31" s="1353">
        <f t="shared" si="12"/>
        <v>100</v>
      </c>
      <c r="T31" s="1352" t="s">
        <v>63</v>
      </c>
      <c r="U31" s="1353">
        <f t="shared" si="13"/>
        <v>100</v>
      </c>
      <c r="V31" s="1352" t="s">
        <v>63</v>
      </c>
      <c r="W31" s="1353">
        <f t="shared" si="14"/>
        <v>100</v>
      </c>
      <c r="X31" s="1340"/>
      <c r="Y31" s="3635"/>
      <c r="Z31" s="1354">
        <f t="shared" si="15"/>
        <v>111</v>
      </c>
      <c r="AA31" s="1355">
        <f t="shared" si="3"/>
        <v>1</v>
      </c>
      <c r="AB31" s="1355">
        <f t="shared" si="4"/>
        <v>1</v>
      </c>
      <c r="AC31" s="1355">
        <f t="shared" si="5"/>
        <v>1</v>
      </c>
    </row>
    <row r="32" spans="1:29" ht="15">
      <c r="A32" s="155" t="s">
        <v>1025</v>
      </c>
      <c r="B32" s="62" t="s">
        <v>1026</v>
      </c>
      <c r="C32" s="110" t="s">
        <v>3210</v>
      </c>
      <c r="D32" s="810">
        <v>100</v>
      </c>
      <c r="E32" s="110" t="s">
        <v>3191</v>
      </c>
      <c r="F32" s="804">
        <f>SUMIF(100:100,E32,101:101)-SUMIF(100:100,C32,101:101)+100</f>
        <v>94</v>
      </c>
      <c r="G32" s="110" t="s">
        <v>3191</v>
      </c>
      <c r="H32" s="778">
        <f>SUMIF(100:100,G32,101:101)-SUMIF(100:100,C32,101:101)+100</f>
        <v>94</v>
      </c>
      <c r="I32" s="110" t="s">
        <v>3189</v>
      </c>
      <c r="J32" s="810">
        <f>SUMIF(100:100,I32,101:101)-SUMIF(100:100,C32,101:101)+100</f>
        <v>96</v>
      </c>
      <c r="K32" s="955">
        <v>2</v>
      </c>
      <c r="L32" s="2302"/>
      <c r="M32" s="2297"/>
      <c r="N32" s="2297"/>
      <c r="O32" s="2297"/>
      <c r="P32" s="3636" t="s">
        <v>1027</v>
      </c>
      <c r="Q32" s="1351" t="str">
        <f t="shared" si="11"/>
        <v>商业类型</v>
      </c>
      <c r="R32" s="1352" t="s">
        <v>63</v>
      </c>
      <c r="S32" s="1353">
        <f t="shared" si="12"/>
        <v>94</v>
      </c>
      <c r="T32" s="1352" t="s">
        <v>63</v>
      </c>
      <c r="U32" s="1353">
        <f t="shared" si="13"/>
        <v>94</v>
      </c>
      <c r="V32" s="1352" t="s">
        <v>63</v>
      </c>
      <c r="W32" s="1353">
        <f t="shared" si="14"/>
        <v>96</v>
      </c>
      <c r="X32" s="1340"/>
      <c r="Y32" s="3639" t="s">
        <v>1027</v>
      </c>
      <c r="Z32" s="1354" t="str">
        <f t="shared" si="15"/>
        <v>商业类型</v>
      </c>
      <c r="AA32" s="1355">
        <f t="shared" si="3"/>
        <v>1.0638297872340425</v>
      </c>
      <c r="AB32" s="1355">
        <f t="shared" si="4"/>
        <v>1.0638297872340425</v>
      </c>
      <c r="AC32" s="1355">
        <f t="shared" si="5"/>
        <v>1.0416666666666667</v>
      </c>
    </row>
    <row r="33" spans="1:29" s="1039" customFormat="1" ht="14.25">
      <c r="A33" s="1043"/>
      <c r="B33" s="12" t="s">
        <v>74</v>
      </c>
      <c r="C33" s="812">
        <v>1154.3699999999999</v>
      </c>
      <c r="D33" s="426">
        <v>100</v>
      </c>
      <c r="E33" s="773">
        <v>106</v>
      </c>
      <c r="F33" s="768">
        <f>LOOKUP(E33,103:103,104:104)-LOOKUP(C33,103:103,104:104)+100</f>
        <v>104</v>
      </c>
      <c r="G33" s="772">
        <v>168</v>
      </c>
      <c r="H33" s="426">
        <f>LOOKUP(G33,103:103,104:104)-LOOKUP(C33,103:103,104:104)+100</f>
        <v>104</v>
      </c>
      <c r="I33" s="772">
        <v>240</v>
      </c>
      <c r="J33" s="426">
        <f>LOOKUP(I33,103:103,104:104)-LOOKUP(C33,103:103,104:104)+100</f>
        <v>104</v>
      </c>
      <c r="K33" s="188"/>
      <c r="L33" s="2301"/>
      <c r="M33" s="2303"/>
      <c r="N33" s="2303"/>
      <c r="O33" s="2303"/>
      <c r="P33" s="3637"/>
      <c r="Q33" s="1359" t="str">
        <f t="shared" si="11"/>
        <v>项目建筑规模</v>
      </c>
      <c r="R33" s="1360" t="s">
        <v>63</v>
      </c>
      <c r="S33" s="1361">
        <f t="shared" si="12"/>
        <v>104</v>
      </c>
      <c r="T33" s="1360" t="s">
        <v>63</v>
      </c>
      <c r="U33" s="1361">
        <f t="shared" si="13"/>
        <v>104</v>
      </c>
      <c r="V33" s="1360" t="s">
        <v>63</v>
      </c>
      <c r="W33" s="1361">
        <f t="shared" si="14"/>
        <v>104</v>
      </c>
      <c r="X33" s="1362"/>
      <c r="Y33" s="3639"/>
      <c r="Z33" s="1363" t="str">
        <f t="shared" si="15"/>
        <v>项目建筑规模</v>
      </c>
      <c r="AA33" s="1355">
        <f t="shared" si="3"/>
        <v>0.96153846153846156</v>
      </c>
      <c r="AB33" s="1355">
        <f t="shared" si="4"/>
        <v>0.96153846153846156</v>
      </c>
      <c r="AC33" s="1355">
        <f t="shared" si="5"/>
        <v>0.96153846153846156</v>
      </c>
    </row>
    <row r="34" spans="1:29" ht="15">
      <c r="A34" s="161"/>
      <c r="B34" s="12" t="s">
        <v>75</v>
      </c>
      <c r="C34" s="112" t="s">
        <v>3072</v>
      </c>
      <c r="D34" s="778">
        <v>100</v>
      </c>
      <c r="E34" s="112" t="s">
        <v>3072</v>
      </c>
      <c r="F34" s="804">
        <f>SUMIF(105:105,E34,106:106)-SUMIF(105:105,C34,106:106)+100</f>
        <v>100</v>
      </c>
      <c r="G34" s="112" t="s">
        <v>3072</v>
      </c>
      <c r="H34" s="778">
        <f>SUMIF(105:105,G34,106:106)-SUMIF(105:105,C34,106:106)+100</f>
        <v>100</v>
      </c>
      <c r="I34" s="112" t="s">
        <v>3072</v>
      </c>
      <c r="J34" s="778">
        <f>SUMIF(105:105,I34,106:106)-SUMIF(105:105,C34,106:106)+100</f>
        <v>100</v>
      </c>
      <c r="K34" s="955">
        <v>2</v>
      </c>
      <c r="L34" s="2302"/>
      <c r="M34" s="2297"/>
      <c r="N34" s="2297"/>
      <c r="O34" s="2297"/>
      <c r="P34" s="3637"/>
      <c r="Q34" s="1351" t="str">
        <f t="shared" si="11"/>
        <v>建筑结构</v>
      </c>
      <c r="R34" s="1352" t="s">
        <v>63</v>
      </c>
      <c r="S34" s="1353">
        <f t="shared" si="12"/>
        <v>100</v>
      </c>
      <c r="T34" s="1352" t="s">
        <v>63</v>
      </c>
      <c r="U34" s="1353">
        <f t="shared" si="13"/>
        <v>100</v>
      </c>
      <c r="V34" s="1352" t="s">
        <v>63</v>
      </c>
      <c r="W34" s="1353">
        <f t="shared" si="14"/>
        <v>100</v>
      </c>
      <c r="X34" s="1340"/>
      <c r="Y34" s="3639"/>
      <c r="Z34" s="1354" t="str">
        <f t="shared" si="15"/>
        <v>建筑结构</v>
      </c>
      <c r="AA34" s="1355">
        <f t="shared" si="3"/>
        <v>1</v>
      </c>
      <c r="AB34" s="1355">
        <f t="shared" si="4"/>
        <v>1</v>
      </c>
      <c r="AC34" s="1355">
        <f t="shared" si="5"/>
        <v>1</v>
      </c>
    </row>
    <row r="35" spans="1:29" ht="15">
      <c r="A35" s="161"/>
      <c r="B35" s="12" t="s">
        <v>1028</v>
      </c>
      <c r="C35" s="109" t="s">
        <v>3193</v>
      </c>
      <c r="D35" s="778">
        <v>100</v>
      </c>
      <c r="E35" s="109" t="s">
        <v>3193</v>
      </c>
      <c r="F35" s="804">
        <f>SUMIF(107:107,E35,108:108)-SUMIF(107:107,C35,108:108)+100</f>
        <v>100</v>
      </c>
      <c r="G35" s="109" t="s">
        <v>3193</v>
      </c>
      <c r="H35" s="778">
        <f>SUMIF(107:107,G35,108:108)-SUMIF(107:107,C35,108:108)+100</f>
        <v>100</v>
      </c>
      <c r="I35" s="109" t="s">
        <v>3193</v>
      </c>
      <c r="J35" s="778">
        <f>SUMIF(107:107,I35,108:108)-SUMIF(107:107,C35,108:108)+100</f>
        <v>100</v>
      </c>
      <c r="K35" s="955">
        <v>2</v>
      </c>
      <c r="L35" s="2302"/>
      <c r="M35" s="2297"/>
      <c r="N35" s="2297"/>
      <c r="O35" s="2297"/>
      <c r="P35" s="3637"/>
      <c r="Q35" s="1351" t="str">
        <f t="shared" si="11"/>
        <v>公共部分装修</v>
      </c>
      <c r="R35" s="1352" t="s">
        <v>63</v>
      </c>
      <c r="S35" s="1353">
        <f t="shared" si="12"/>
        <v>100</v>
      </c>
      <c r="T35" s="1352" t="s">
        <v>63</v>
      </c>
      <c r="U35" s="1353">
        <f t="shared" si="13"/>
        <v>100</v>
      </c>
      <c r="V35" s="1352" t="s">
        <v>63</v>
      </c>
      <c r="W35" s="1353">
        <f t="shared" si="14"/>
        <v>100</v>
      </c>
      <c r="X35" s="1340"/>
      <c r="Y35" s="3639"/>
      <c r="Z35" s="1354" t="str">
        <f t="shared" si="15"/>
        <v>公共部分装修</v>
      </c>
      <c r="AA35" s="1355">
        <f t="shared" si="3"/>
        <v>1</v>
      </c>
      <c r="AB35" s="1355">
        <f t="shared" si="4"/>
        <v>1</v>
      </c>
      <c r="AC35" s="1355">
        <f t="shared" si="5"/>
        <v>1</v>
      </c>
    </row>
    <row r="36" spans="1:29" ht="15">
      <c r="A36" s="161"/>
      <c r="B36" s="12" t="s">
        <v>1029</v>
      </c>
      <c r="C36" s="817">
        <v>0.78</v>
      </c>
      <c r="D36" s="778">
        <v>100</v>
      </c>
      <c r="E36" s="817">
        <v>0.72</v>
      </c>
      <c r="F36" s="804">
        <f>LOOKUP(E36,110:110,111:111)-LOOKUP(C36,110:110,111:111)+100</f>
        <v>100</v>
      </c>
      <c r="G36" s="817">
        <v>0.78</v>
      </c>
      <c r="H36" s="804">
        <f>LOOKUP(G36,110:110,111:111)-LOOKUP(C36,110:110,111:111)+100</f>
        <v>100</v>
      </c>
      <c r="I36" s="817">
        <v>0.8</v>
      </c>
      <c r="J36" s="778">
        <f>LOOKUP(I36,110:110,111:111)-LOOKUP(C36,110:110,111:111)+100</f>
        <v>100</v>
      </c>
      <c r="K36" s="955">
        <v>0</v>
      </c>
      <c r="L36" s="2302"/>
      <c r="M36" s="2297"/>
      <c r="N36" s="2297"/>
      <c r="O36" s="2297"/>
      <c r="P36" s="3637"/>
      <c r="Q36" s="1351" t="str">
        <f t="shared" si="11"/>
        <v>成新度</v>
      </c>
      <c r="R36" s="1352" t="s">
        <v>63</v>
      </c>
      <c r="S36" s="1353">
        <f t="shared" si="12"/>
        <v>100</v>
      </c>
      <c r="T36" s="1352" t="s">
        <v>63</v>
      </c>
      <c r="U36" s="1353">
        <f t="shared" si="13"/>
        <v>100</v>
      </c>
      <c r="V36" s="1352" t="s">
        <v>63</v>
      </c>
      <c r="W36" s="1353">
        <f t="shared" si="14"/>
        <v>100</v>
      </c>
      <c r="X36" s="1340"/>
      <c r="Y36" s="3639"/>
      <c r="Z36" s="1354" t="str">
        <f t="shared" si="15"/>
        <v>成新度</v>
      </c>
      <c r="AA36" s="1355">
        <f t="shared" si="3"/>
        <v>1</v>
      </c>
      <c r="AB36" s="1355">
        <f t="shared" si="4"/>
        <v>1</v>
      </c>
      <c r="AC36" s="1355">
        <f t="shared" si="5"/>
        <v>1</v>
      </c>
    </row>
    <row r="37" spans="1:29" s="40" customFormat="1" ht="15">
      <c r="A37" s="1041"/>
      <c r="B37" s="12" t="s">
        <v>2653</v>
      </c>
      <c r="C37" s="109" t="s">
        <v>3182</v>
      </c>
      <c r="D37" s="426">
        <v>100</v>
      </c>
      <c r="E37" s="109" t="s">
        <v>3182</v>
      </c>
      <c r="F37" s="804">
        <f>SUMIF(112:112,E37,113:113)-SUMIF(112:112,C37,113:113)+100</f>
        <v>100</v>
      </c>
      <c r="G37" s="109" t="s">
        <v>3182</v>
      </c>
      <c r="H37" s="778">
        <f>SUMIF(112:112,G37,113:113)-SUMIF(112:112,C37,113:113)+100</f>
        <v>100</v>
      </c>
      <c r="I37" s="109" t="s">
        <v>3182</v>
      </c>
      <c r="J37" s="778">
        <f>SUMIF(112:112,I37,113:113)-SUMIF(112:112,C37,113:113)+100</f>
        <v>100</v>
      </c>
      <c r="K37" s="955">
        <v>1</v>
      </c>
      <c r="L37" s="2298"/>
      <c r="M37" s="2260"/>
      <c r="N37" s="2260"/>
      <c r="O37" s="2260"/>
      <c r="P37" s="3637"/>
      <c r="Q37" s="7" t="str">
        <f t="shared" si="11"/>
        <v>市政基础设施</v>
      </c>
      <c r="R37" s="1342" t="s">
        <v>63</v>
      </c>
      <c r="S37" s="1343">
        <f t="shared" si="12"/>
        <v>100</v>
      </c>
      <c r="T37" s="1342" t="s">
        <v>63</v>
      </c>
      <c r="U37" s="1343">
        <f t="shared" si="13"/>
        <v>100</v>
      </c>
      <c r="V37" s="1342" t="s">
        <v>63</v>
      </c>
      <c r="W37" s="1343">
        <f t="shared" si="14"/>
        <v>100</v>
      </c>
      <c r="X37" s="287"/>
      <c r="Y37" s="3639"/>
      <c r="Z37" s="288" t="str">
        <f t="shared" si="15"/>
        <v>市政基础设施</v>
      </c>
      <c r="AA37" s="1344">
        <f t="shared" si="3"/>
        <v>1</v>
      </c>
      <c r="AB37" s="1344">
        <f t="shared" si="4"/>
        <v>1</v>
      </c>
      <c r="AC37" s="1344">
        <f t="shared" si="5"/>
        <v>1</v>
      </c>
    </row>
    <row r="38" spans="1:29" ht="15">
      <c r="A38" s="161"/>
      <c r="B38" s="12" t="s">
        <v>133</v>
      </c>
      <c r="C38" s="109" t="s">
        <v>3194</v>
      </c>
      <c r="D38" s="778">
        <v>100</v>
      </c>
      <c r="E38" s="109" t="s">
        <v>3194</v>
      </c>
      <c r="F38" s="804">
        <f>SUMIF(114:114,E38,115:115)-SUMIF(114:114,C38,115:115)+100</f>
        <v>100</v>
      </c>
      <c r="G38" s="109" t="s">
        <v>3194</v>
      </c>
      <c r="H38" s="778">
        <f>SUMIF(114:114,G38,115:115)-SUMIF(114:114,C38,115:115)+100</f>
        <v>100</v>
      </c>
      <c r="I38" s="109" t="s">
        <v>3194</v>
      </c>
      <c r="J38" s="778">
        <f>SUMIF(114:114,I38,115:115)-SUMIF(114:114,C38,115:115)+100</f>
        <v>100</v>
      </c>
      <c r="K38" s="955">
        <v>2</v>
      </c>
      <c r="L38" s="2302"/>
      <c r="M38" s="2297"/>
      <c r="N38" s="2297"/>
      <c r="O38" s="2297"/>
      <c r="P38" s="3637" t="s">
        <v>1030</v>
      </c>
      <c r="Q38" s="1351" t="str">
        <f t="shared" si="11"/>
        <v>业态</v>
      </c>
      <c r="R38" s="1352" t="s">
        <v>63</v>
      </c>
      <c r="S38" s="1353">
        <f t="shared" si="12"/>
        <v>100</v>
      </c>
      <c r="T38" s="1352" t="s">
        <v>63</v>
      </c>
      <c r="U38" s="1353">
        <f t="shared" si="13"/>
        <v>100</v>
      </c>
      <c r="V38" s="1352" t="s">
        <v>63</v>
      </c>
      <c r="W38" s="1353">
        <f t="shared" si="14"/>
        <v>100</v>
      </c>
      <c r="X38" s="1340"/>
      <c r="Y38" s="3639" t="s">
        <v>1030</v>
      </c>
      <c r="Z38" s="1354" t="str">
        <f t="shared" si="15"/>
        <v>业态</v>
      </c>
      <c r="AA38" s="1355">
        <f t="shared" si="3"/>
        <v>1</v>
      </c>
      <c r="AB38" s="1355">
        <f t="shared" si="4"/>
        <v>1</v>
      </c>
      <c r="AC38" s="1355">
        <f t="shared" si="5"/>
        <v>1</v>
      </c>
    </row>
    <row r="39" spans="1:29" ht="15">
      <c r="A39" s="161"/>
      <c r="B39" s="12" t="s">
        <v>1031</v>
      </c>
      <c r="C39" s="109" t="s">
        <v>3195</v>
      </c>
      <c r="D39" s="778">
        <v>100</v>
      </c>
      <c r="E39" s="109" t="s">
        <v>3195</v>
      </c>
      <c r="F39" s="804">
        <f>SUMIF(116:116,E39,117:117)-SUMIF(116:116,C39,117:117)+100</f>
        <v>100</v>
      </c>
      <c r="G39" s="109" t="s">
        <v>3195</v>
      </c>
      <c r="H39" s="778">
        <f>SUMIF(116:116,G39,117:117)-SUMIF(116:116,C39,117:117)+100</f>
        <v>100</v>
      </c>
      <c r="I39" s="109" t="s">
        <v>3195</v>
      </c>
      <c r="J39" s="778">
        <f>SUMIF(116:116,I39,117:117)-SUMIF(116:116,C39,117:117)+100</f>
        <v>100</v>
      </c>
      <c r="K39" s="955">
        <v>2</v>
      </c>
      <c r="L39" s="2302"/>
      <c r="M39" s="2297"/>
      <c r="N39" s="2297"/>
      <c r="O39" s="2297"/>
      <c r="P39" s="3637"/>
      <c r="Q39" s="1351" t="str">
        <f t="shared" si="11"/>
        <v>层高</v>
      </c>
      <c r="R39" s="1352" t="s">
        <v>63</v>
      </c>
      <c r="S39" s="1353">
        <f t="shared" si="12"/>
        <v>100</v>
      </c>
      <c r="T39" s="1352" t="s">
        <v>63</v>
      </c>
      <c r="U39" s="1353">
        <f t="shared" si="13"/>
        <v>100</v>
      </c>
      <c r="V39" s="1352" t="s">
        <v>63</v>
      </c>
      <c r="W39" s="1353">
        <f t="shared" si="14"/>
        <v>100</v>
      </c>
      <c r="X39" s="1340"/>
      <c r="Y39" s="3639"/>
      <c r="Z39" s="1354" t="str">
        <f t="shared" si="15"/>
        <v>层高</v>
      </c>
      <c r="AA39" s="1355">
        <f t="shared" si="3"/>
        <v>1</v>
      </c>
      <c r="AB39" s="1355">
        <f t="shared" si="4"/>
        <v>1</v>
      </c>
      <c r="AC39" s="1355">
        <f t="shared" si="5"/>
        <v>1</v>
      </c>
    </row>
    <row r="40" spans="1:29" ht="14.25">
      <c r="A40" s="161"/>
      <c r="B40" s="12"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37"/>
      <c r="Q40" s="1351" t="str">
        <f t="shared" si="11"/>
        <v>单套建筑面积</v>
      </c>
      <c r="R40" s="1352" t="s">
        <v>63</v>
      </c>
      <c r="S40" s="1353">
        <f t="shared" si="12"/>
        <v>100</v>
      </c>
      <c r="T40" s="1352" t="s">
        <v>63</v>
      </c>
      <c r="U40" s="1353">
        <f t="shared" si="13"/>
        <v>100</v>
      </c>
      <c r="V40" s="1352" t="s">
        <v>63</v>
      </c>
      <c r="W40" s="1353">
        <f t="shared" si="14"/>
        <v>100</v>
      </c>
      <c r="X40" s="1340"/>
      <c r="Y40" s="3639"/>
      <c r="Z40" s="1354" t="str">
        <f t="shared" si="15"/>
        <v>单套建筑面积</v>
      </c>
      <c r="AA40" s="1355">
        <f t="shared" si="3"/>
        <v>1</v>
      </c>
      <c r="AB40" s="1355">
        <f t="shared" si="4"/>
        <v>1</v>
      </c>
      <c r="AC40" s="1355">
        <f t="shared" si="5"/>
        <v>1</v>
      </c>
    </row>
    <row r="41" spans="1:29" s="1039" customFormat="1" ht="15">
      <c r="A41" s="1043"/>
      <c r="B41" s="191" t="s">
        <v>1033</v>
      </c>
      <c r="C41" s="182" t="s">
        <v>3196</v>
      </c>
      <c r="D41" s="778">
        <v>100</v>
      </c>
      <c r="E41" s="182" t="s">
        <v>3196</v>
      </c>
      <c r="F41" s="804">
        <f>SUMIF(120:120,E41,121:121)-SUMIF(120:120,C41,121:121)+100</f>
        <v>100</v>
      </c>
      <c r="G41" s="182" t="s">
        <v>3196</v>
      </c>
      <c r="H41" s="778">
        <f>SUMIF(120:120,G41,121:121)-SUMIF(120:120,C41,121:121)+100</f>
        <v>100</v>
      </c>
      <c r="I41" s="182" t="s">
        <v>3196</v>
      </c>
      <c r="J41" s="778">
        <f>SUMIF(120:120,I41,121:121)-SUMIF(120:120,C41,121:121)+100</f>
        <v>100</v>
      </c>
      <c r="K41" s="955">
        <v>1</v>
      </c>
      <c r="L41" s="2301"/>
      <c r="M41" s="2303"/>
      <c r="N41" s="2303"/>
      <c r="O41" s="2303"/>
      <c r="P41" s="3637"/>
      <c r="Q41" s="1359" t="str">
        <f t="shared" si="11"/>
        <v>进深比</v>
      </c>
      <c r="R41" s="1360" t="s">
        <v>63</v>
      </c>
      <c r="S41" s="1361">
        <f t="shared" si="12"/>
        <v>100</v>
      </c>
      <c r="T41" s="1360" t="s">
        <v>63</v>
      </c>
      <c r="U41" s="1361">
        <f t="shared" si="13"/>
        <v>100</v>
      </c>
      <c r="V41" s="1360" t="s">
        <v>63</v>
      </c>
      <c r="W41" s="1361">
        <f t="shared" si="14"/>
        <v>100</v>
      </c>
      <c r="X41" s="1362"/>
      <c r="Y41" s="3639"/>
      <c r="Z41" s="1363" t="str">
        <f t="shared" si="15"/>
        <v>进深比</v>
      </c>
      <c r="AA41" s="1355">
        <f t="shared" si="3"/>
        <v>1</v>
      </c>
      <c r="AB41" s="1355">
        <f t="shared" si="4"/>
        <v>1</v>
      </c>
      <c r="AC41" s="1355">
        <f t="shared" si="5"/>
        <v>1</v>
      </c>
    </row>
    <row r="42" spans="1:29" ht="15">
      <c r="A42" s="161"/>
      <c r="B42" s="12" t="s">
        <v>1034</v>
      </c>
      <c r="C42" s="109" t="s">
        <v>3193</v>
      </c>
      <c r="D42" s="778">
        <v>100</v>
      </c>
      <c r="E42" s="109" t="s">
        <v>3198</v>
      </c>
      <c r="F42" s="804">
        <f>SUMIF(122:122,E42,123:123)-SUMIF(122:122,C42,123:123)+100</f>
        <v>98</v>
      </c>
      <c r="G42" s="109" t="s">
        <v>3198</v>
      </c>
      <c r="H42" s="778">
        <f>SUMIF(122:122,G42,123:123)-SUMIF(122:122,C42,123:123)+100</f>
        <v>98</v>
      </c>
      <c r="I42" s="109" t="s">
        <v>3198</v>
      </c>
      <c r="J42" s="778">
        <f>SUMIF(122:122,I42,123:123)-SUMIF(122:122,C42,123:123)+100</f>
        <v>98</v>
      </c>
      <c r="K42" s="955">
        <v>2</v>
      </c>
      <c r="L42" s="2302"/>
      <c r="M42" s="2297"/>
      <c r="N42" s="2297"/>
      <c r="O42" s="2297"/>
      <c r="P42" s="3637"/>
      <c r="Q42" s="1351" t="str">
        <f t="shared" si="11"/>
        <v>内部装修</v>
      </c>
      <c r="R42" s="1352" t="s">
        <v>63</v>
      </c>
      <c r="S42" s="1353">
        <f t="shared" si="12"/>
        <v>98</v>
      </c>
      <c r="T42" s="1352" t="s">
        <v>63</v>
      </c>
      <c r="U42" s="1353">
        <f t="shared" si="13"/>
        <v>98</v>
      </c>
      <c r="V42" s="1352" t="s">
        <v>63</v>
      </c>
      <c r="W42" s="1353">
        <f t="shared" si="14"/>
        <v>98</v>
      </c>
      <c r="X42" s="1340"/>
      <c r="Y42" s="3639"/>
      <c r="Z42" s="1354" t="str">
        <f t="shared" si="15"/>
        <v>内部装修</v>
      </c>
      <c r="AA42" s="1355">
        <f t="shared" si="3"/>
        <v>1.0204081632653061</v>
      </c>
      <c r="AB42" s="1355">
        <f t="shared" si="4"/>
        <v>1.0204081632653061</v>
      </c>
      <c r="AC42" s="1355">
        <f t="shared" si="5"/>
        <v>1.0204081632653061</v>
      </c>
    </row>
    <row r="43" spans="1:29" ht="27">
      <c r="A43" s="161"/>
      <c r="B43" s="12" t="s">
        <v>82</v>
      </c>
      <c r="C43" s="109" t="s">
        <v>3178</v>
      </c>
      <c r="D43" s="778">
        <v>100</v>
      </c>
      <c r="E43" s="109" t="s">
        <v>3178</v>
      </c>
      <c r="F43" s="804">
        <f>SUMIF(124:124,E43,125:125)-SUMIF(124:124,C43,125:125)+100</f>
        <v>100</v>
      </c>
      <c r="G43" s="109" t="s">
        <v>3178</v>
      </c>
      <c r="H43" s="778">
        <f>SUMIF(124:124,G43,125:125)-SUMIF(124:124,C43,125:125)+100</f>
        <v>100</v>
      </c>
      <c r="I43" s="109" t="s">
        <v>3178</v>
      </c>
      <c r="J43" s="778">
        <f>SUMIF(124:124,I43,125:125)-SUMIF(124:124,C43,125:125)+100</f>
        <v>100</v>
      </c>
      <c r="K43" s="955">
        <v>2</v>
      </c>
      <c r="L43" s="2302"/>
      <c r="M43" s="2297"/>
      <c r="N43" s="2297"/>
      <c r="O43" s="2297"/>
      <c r="P43" s="3637"/>
      <c r="Q43" s="1351" t="str">
        <f t="shared" si="11"/>
        <v>内部装修维护情况</v>
      </c>
      <c r="R43" s="1352" t="s">
        <v>63</v>
      </c>
      <c r="S43" s="1353">
        <f t="shared" si="12"/>
        <v>100</v>
      </c>
      <c r="T43" s="1352" t="s">
        <v>63</v>
      </c>
      <c r="U43" s="1353">
        <f t="shared" si="13"/>
        <v>100</v>
      </c>
      <c r="V43" s="1352" t="s">
        <v>63</v>
      </c>
      <c r="W43" s="1353">
        <f t="shared" si="14"/>
        <v>100</v>
      </c>
      <c r="X43" s="1340"/>
      <c r="Y43" s="363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37"/>
      <c r="Q44" s="7">
        <f t="shared" si="11"/>
        <v>111</v>
      </c>
      <c r="R44" s="1342" t="s">
        <v>63</v>
      </c>
      <c r="S44" s="1343">
        <f t="shared" si="12"/>
        <v>100</v>
      </c>
      <c r="T44" s="1342" t="s">
        <v>63</v>
      </c>
      <c r="U44" s="1343">
        <f t="shared" si="13"/>
        <v>100</v>
      </c>
      <c r="V44" s="1342" t="s">
        <v>63</v>
      </c>
      <c r="W44" s="1343">
        <f t="shared" si="14"/>
        <v>100</v>
      </c>
      <c r="X44" s="287"/>
      <c r="Y44" s="363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37"/>
      <c r="Q45" s="1351">
        <f t="shared" si="11"/>
        <v>111</v>
      </c>
      <c r="R45" s="1352" t="s">
        <v>63</v>
      </c>
      <c r="S45" s="1353">
        <f t="shared" si="12"/>
        <v>100</v>
      </c>
      <c r="T45" s="1352" t="s">
        <v>63</v>
      </c>
      <c r="U45" s="1353">
        <f t="shared" si="13"/>
        <v>100</v>
      </c>
      <c r="V45" s="1352" t="s">
        <v>63</v>
      </c>
      <c r="W45" s="1353">
        <f t="shared" si="14"/>
        <v>100</v>
      </c>
      <c r="X45" s="1340"/>
      <c r="Y45" s="363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8"/>
      <c r="Q46" s="1351">
        <f t="shared" si="11"/>
        <v>111</v>
      </c>
      <c r="R46" s="1352" t="s">
        <v>63</v>
      </c>
      <c r="S46" s="1353">
        <f t="shared" si="12"/>
        <v>100</v>
      </c>
      <c r="T46" s="1352" t="s">
        <v>63</v>
      </c>
      <c r="U46" s="1353">
        <f t="shared" si="13"/>
        <v>100</v>
      </c>
      <c r="V46" s="1352" t="s">
        <v>63</v>
      </c>
      <c r="W46" s="1353">
        <f t="shared" si="14"/>
        <v>100</v>
      </c>
      <c r="X46" s="1340"/>
      <c r="Y46" s="3640"/>
      <c r="Z46" s="1354">
        <f t="shared" si="15"/>
        <v>111</v>
      </c>
      <c r="AA46" s="1355">
        <f t="shared" si="3"/>
        <v>1</v>
      </c>
      <c r="AB46" s="1355">
        <f t="shared" si="4"/>
        <v>1</v>
      </c>
      <c r="AC46" s="1355">
        <f t="shared" si="5"/>
        <v>1</v>
      </c>
    </row>
    <row r="47" spans="1:29" ht="15">
      <c r="A47" s="163" t="s">
        <v>1035</v>
      </c>
      <c r="B47" s="164"/>
      <c r="C47" s="2834" t="s">
        <v>23</v>
      </c>
      <c r="D47" s="2835"/>
      <c r="E47" s="2836">
        <v>75472</v>
      </c>
      <c r="F47" s="2837"/>
      <c r="G47" s="2838">
        <v>71429</v>
      </c>
      <c r="H47" s="2839"/>
      <c r="I47" s="2836">
        <v>80000</v>
      </c>
      <c r="J47" s="2839"/>
      <c r="K47" s="1393"/>
      <c r="L47" s="2304"/>
      <c r="M47" s="2305"/>
      <c r="N47" s="2297"/>
      <c r="O47" s="2305"/>
      <c r="P47" s="3627" t="str">
        <f>A47</f>
        <v>成交单价（元/平方米）</v>
      </c>
      <c r="Q47" s="3627"/>
      <c r="R47" s="3641">
        <f>E47</f>
        <v>75472</v>
      </c>
      <c r="S47" s="3641"/>
      <c r="T47" s="3641">
        <f>G47</f>
        <v>71429</v>
      </c>
      <c r="U47" s="3641"/>
      <c r="V47" s="3641">
        <f>I47</f>
        <v>80000</v>
      </c>
      <c r="W47" s="3641"/>
      <c r="X47" s="1365"/>
      <c r="Y47" s="1366"/>
      <c r="Z47" s="1365"/>
      <c r="AA47" s="1365"/>
      <c r="AB47" s="1365"/>
      <c r="AC47" s="1365"/>
    </row>
    <row r="48" spans="1:29" ht="15.75" thickBot="1">
      <c r="A48" s="165" t="s">
        <v>1036</v>
      </c>
      <c r="B48" s="166"/>
      <c r="C48" s="2840">
        <f>R49</f>
        <v>76340</v>
      </c>
      <c r="D48" s="2841"/>
      <c r="E48" s="2842">
        <f>R48</f>
        <v>76482</v>
      </c>
      <c r="F48" s="2842"/>
      <c r="G48" s="2840">
        <f>T48</f>
        <v>73124</v>
      </c>
      <c r="H48" s="2841"/>
      <c r="I48" s="2842">
        <f>V48</f>
        <v>79414</v>
      </c>
      <c r="J48" s="2841"/>
      <c r="K48" s="1394"/>
      <c r="L48" s="2304"/>
      <c r="M48" s="2305"/>
      <c r="N48" s="2297"/>
      <c r="O48" s="2305"/>
      <c r="P48" s="3627" t="str">
        <f>A48</f>
        <v>比较价值（元/平方米）</v>
      </c>
      <c r="Q48" s="3627"/>
      <c r="R48" s="3628">
        <f>IF(F1="售价",ROUND(PRODUCT(R47,AA7:AA46),0),ROUND(PRODUCT(R47,AA7:AA46),1))</f>
        <v>76482</v>
      </c>
      <c r="S48" s="3628"/>
      <c r="T48" s="3628">
        <f>IF(F1="售价",ROUND(PRODUCT(T47,AB7:AB46),0),ROUND(PRODUCT(T47,AB7:AB46),1))</f>
        <v>73124</v>
      </c>
      <c r="U48" s="3628"/>
      <c r="V48" s="3628">
        <f>IF(F1="售价",ROUND(PRODUCT(V47,AC7:AC46),0),ROUND(PRODUCT(V47,AC7:AC46),1))</f>
        <v>79414</v>
      </c>
      <c r="W48" s="3628"/>
      <c r="X48" s="1365"/>
      <c r="Y48" s="1365"/>
      <c r="Z48" s="1365"/>
      <c r="AA48" s="1365"/>
      <c r="AB48" s="1365"/>
      <c r="AC48" s="1365"/>
    </row>
    <row r="49" spans="1:29" ht="15.75" thickBot="1">
      <c r="A49" s="115" t="s">
        <v>3125</v>
      </c>
      <c r="B49" s="116"/>
      <c r="C49" s="2844">
        <f>R49</f>
        <v>76340</v>
      </c>
      <c r="D49" s="2844"/>
      <c r="E49" s="2844"/>
      <c r="F49" s="2844"/>
      <c r="G49" s="2844"/>
      <c r="H49" s="2844"/>
      <c r="I49" s="2844"/>
      <c r="J49" s="2844"/>
      <c r="K49" s="1395"/>
      <c r="L49" s="2304"/>
      <c r="M49" s="2305"/>
      <c r="N49" s="2297"/>
      <c r="O49" s="2305"/>
      <c r="P49" s="3629" t="str">
        <f>A49</f>
        <v>估价对象商业用房的比较价值（楼面单价，元/平方米）</v>
      </c>
      <c r="Q49" s="3630"/>
      <c r="R49" s="3631">
        <f>IF(F1="售价",ROUND(AVERAGE(R48:V48),0),ROUND(AVERAGE(R48:V48),1))</f>
        <v>76340</v>
      </c>
      <c r="S49" s="3631"/>
      <c r="T49" s="3631"/>
      <c r="U49" s="3631"/>
      <c r="V49" s="3631"/>
      <c r="W49" s="363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1005</v>
      </c>
      <c r="D52" s="841"/>
      <c r="E52" s="842">
        <f>IF(E47&lt;E48,E48/E47-1,E47/E48-1)</f>
        <v>1.3382446470214138E-2</v>
      </c>
      <c r="F52" s="843" t="str">
        <f>IF(OR(E52&gt;=0.3,E52&lt;=-0.3),"超过30%","")</f>
        <v/>
      </c>
      <c r="G52" s="842">
        <f>IF(G47&lt;G48,G48/G47-1,G47/G48-1)</f>
        <v>2.3729857620854222E-2</v>
      </c>
      <c r="H52" s="843" t="str">
        <f>IF(OR(G52&gt;=0.3,G52&lt;=-0.3),"超过30%","")</f>
        <v/>
      </c>
      <c r="I52" s="842">
        <f>IF(I47&lt;I48,I48/I47-1,I47/I48-1)</f>
        <v>7.3790515526228617E-3</v>
      </c>
      <c r="J52" s="843" t="str">
        <f>IF(OR(I52&gt;=0.3,I52&lt;=-0.3),"超过30%","")</f>
        <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1006</v>
      </c>
      <c r="D53" s="844"/>
      <c r="E53" s="842">
        <f>IF(E48&lt;G48,G48/E48-1,E48/G48-1)</f>
        <v>4.5921995514468517E-2</v>
      </c>
      <c r="F53" s="843" t="str">
        <f>IF(OR(E53&gt;=0.2,E53&lt;=-0.2),"超过20%","")</f>
        <v/>
      </c>
      <c r="G53" s="842">
        <f>IF(G48&lt;I48,I48/G48-1,G48/I48-1)</f>
        <v>8.6018270335320723E-2</v>
      </c>
      <c r="H53" s="843" t="str">
        <f>IF(OR(G53&gt;=0.2,G53&lt;=-0.2),"超过20%","")</f>
        <v/>
      </c>
      <c r="I53" s="842">
        <f>IF(I48&lt;E48,E48/I48-1,I48/E48-1)</f>
        <v>3.8335817577992204E-2</v>
      </c>
      <c r="J53" s="843" t="str">
        <f>IF(OR(I53&gt;=0.2,I53&lt;=-0.2),"超过20%","")</f>
        <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1007</v>
      </c>
      <c r="D54" s="844"/>
      <c r="E54" s="842">
        <f>IF(E47&lt;G47,G47/E47-1,E47/G47-1)</f>
        <v>5.6601660390037667E-2</v>
      </c>
      <c r="F54" s="843" t="str">
        <f>IF(OR(E54&gt;=0.3,E54&lt;=-0.3),"超过30%","")</f>
        <v/>
      </c>
      <c r="G54" s="842">
        <f>IF(G47&lt;I47,I47/G47-1,G47/I47-1)</f>
        <v>0.11999328004031984</v>
      </c>
      <c r="H54" s="843" t="str">
        <f>IF(OR(G54&gt;=0.3,G54&lt;=-0.3),"超过30%","")</f>
        <v/>
      </c>
      <c r="I54" s="842">
        <f>IF(I47&lt;E47,E47/I47-1,I47/E47-1)</f>
        <v>5.9995760016959832E-2</v>
      </c>
      <c r="J54" s="843" t="str">
        <f>IF(OR(I54&gt;=0.3,I54&lt;=-0.3),"超过30%","")</f>
        <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1037</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2790</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1038</v>
      </c>
      <c r="B60" s="1048"/>
      <c r="C60" s="860"/>
      <c r="D60" s="861"/>
      <c r="E60" s="861"/>
      <c r="F60" s="861"/>
      <c r="G60" s="861"/>
      <c r="H60" s="861"/>
      <c r="I60" s="861"/>
      <c r="J60" s="861"/>
      <c r="K60" s="861"/>
      <c r="L60" s="861"/>
      <c r="M60" s="862"/>
      <c r="N60" s="861"/>
      <c r="O60" s="862"/>
      <c r="P60" s="1377"/>
      <c r="Q60" s="121"/>
    </row>
    <row r="61" spans="1:29" s="40" customFormat="1">
      <c r="A61" s="1049" t="s">
        <v>1039</v>
      </c>
      <c r="B61" s="1046"/>
      <c r="C61" s="1050" t="s">
        <v>1040</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1041</v>
      </c>
      <c r="B63" s="286" t="s">
        <v>1042</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1043</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t="s">
        <v>136</v>
      </c>
      <c r="D66" s="887" t="s">
        <v>137</v>
      </c>
      <c r="E66" s="887" t="s">
        <v>138</v>
      </c>
      <c r="F66" s="887">
        <v>100</v>
      </c>
      <c r="G66" s="887">
        <f>F66-$K10</f>
        <v>99</v>
      </c>
      <c r="H66" s="887">
        <f>G66-$K10</f>
        <v>98</v>
      </c>
      <c r="I66" s="887">
        <f>H66-$K10</f>
        <v>97</v>
      </c>
      <c r="J66" s="887"/>
      <c r="K66" s="887"/>
      <c r="L66" s="887"/>
      <c r="M66" s="888"/>
      <c r="N66" s="1390"/>
      <c r="O66" s="1390"/>
      <c r="P66" s="1379"/>
      <c r="Q66" s="121"/>
    </row>
    <row r="67" spans="1:17" ht="15" thickTop="1">
      <c r="A67" s="173"/>
      <c r="B67" s="1056" t="s">
        <v>1044</v>
      </c>
      <c r="C67" s="890" t="str">
        <f>C68&amp;"（含）"&amp;"-"&amp;D68</f>
        <v>0（含）-1</v>
      </c>
      <c r="D67" s="890" t="str">
        <f t="shared" ref="D67:L67" si="17">D68&amp;"（含）"&amp;"-"&amp;E68</f>
        <v>1（含）-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1045</v>
      </c>
      <c r="B76" s="286" t="s">
        <v>1046</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90"/>
      <c r="O77" s="1390"/>
      <c r="P77" s="1379"/>
      <c r="Q77" s="121"/>
    </row>
    <row r="78" spans="1:17" ht="15" thickTop="1">
      <c r="A78" s="173"/>
      <c r="B78" s="1054" t="s">
        <v>1052</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2635</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6"/>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1053</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1054</v>
      </c>
      <c r="C86" s="3420" t="s">
        <v>3148</v>
      </c>
      <c r="D86" s="3420" t="s">
        <v>3149</v>
      </c>
      <c r="E86" s="3420" t="s">
        <v>3150</v>
      </c>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97</v>
      </c>
      <c r="E87" s="887">
        <f t="shared" si="20"/>
        <v>94</v>
      </c>
      <c r="F87" s="887">
        <f t="shared" si="20"/>
        <v>91</v>
      </c>
      <c r="G87" s="887">
        <f t="shared" si="20"/>
        <v>88</v>
      </c>
      <c r="H87" s="887">
        <f t="shared" si="20"/>
        <v>85</v>
      </c>
      <c r="I87" s="887">
        <f t="shared" si="20"/>
        <v>82</v>
      </c>
      <c r="J87" s="887">
        <f t="shared" si="20"/>
        <v>79</v>
      </c>
      <c r="K87" s="887">
        <f t="shared" si="20"/>
        <v>76</v>
      </c>
      <c r="L87" s="887">
        <f t="shared" si="20"/>
        <v>73</v>
      </c>
      <c r="M87" s="887">
        <f t="shared" si="20"/>
        <v>70</v>
      </c>
      <c r="N87" s="1390"/>
      <c r="O87" s="1390"/>
      <c r="P87" s="1379"/>
      <c r="Q87" s="121"/>
    </row>
    <row r="88" spans="1:17" s="40" customFormat="1" ht="14.25" thickTop="1">
      <c r="A88" s="1072"/>
      <c r="B88" s="1054" t="str">
        <f>B26</f>
        <v>平面位置/可视性</v>
      </c>
      <c r="C88" s="3420" t="s">
        <v>3151</v>
      </c>
      <c r="D88" s="3420" t="s">
        <v>3152</v>
      </c>
      <c r="E88" s="3420" t="s">
        <v>3153</v>
      </c>
      <c r="F88" s="3421" t="s">
        <v>3154</v>
      </c>
      <c r="G88" s="3420" t="s">
        <v>3155</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3420" t="s">
        <v>3156</v>
      </c>
      <c r="D90" s="3420" t="s">
        <v>3157</v>
      </c>
      <c r="E90" s="3420" t="s">
        <v>3153</v>
      </c>
      <c r="F90" s="3420" t="s">
        <v>3158</v>
      </c>
      <c r="G90" s="3420" t="s">
        <v>3159</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t="s">
        <v>3160</v>
      </c>
      <c r="D92" s="139"/>
      <c r="E92" s="139"/>
      <c r="F92" s="139"/>
      <c r="G92" s="139"/>
      <c r="H92" s="139"/>
      <c r="I92" s="139"/>
      <c r="J92" s="139"/>
      <c r="K92" s="139"/>
      <c r="L92" s="1384"/>
      <c r="M92" s="1385"/>
      <c r="N92" s="1389"/>
      <c r="O92" s="1389"/>
      <c r="P92" s="1379"/>
      <c r="Q92" s="121"/>
    </row>
    <row r="93" spans="1:17" ht="15" thickBot="1">
      <c r="A93" s="173"/>
      <c r="B93" s="1055"/>
      <c r="C93" s="879">
        <v>100</v>
      </c>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1055</v>
      </c>
      <c r="B100" s="286" t="s">
        <v>1056</v>
      </c>
      <c r="C100" s="3422" t="s">
        <v>3161</v>
      </c>
      <c r="D100" s="3422" t="s">
        <v>3162</v>
      </c>
      <c r="E100" s="3422" t="s">
        <v>3190</v>
      </c>
      <c r="F100" s="122" t="s">
        <v>3192</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90"/>
      <c r="O101" s="1390"/>
      <c r="P101" s="1379"/>
      <c r="Q101" s="121"/>
    </row>
    <row r="102" spans="1:17" ht="15" thickTop="1">
      <c r="A102" s="173"/>
      <c r="B102" s="1054" t="s">
        <v>1057</v>
      </c>
      <c r="C102" s="921" t="str">
        <f>C103&amp;"(含)"&amp;"-"&amp;D103</f>
        <v>0(含)-500</v>
      </c>
      <c r="D102" s="921" t="str">
        <f t="shared" ref="D102:L102" si="23">D103&amp;"(含)"&amp;"-"&amp;E103</f>
        <v>500(含)-1000</v>
      </c>
      <c r="E102" s="921" t="str">
        <f t="shared" si="23"/>
        <v>1000(含)-2000</v>
      </c>
      <c r="F102" s="921" t="str">
        <f t="shared" si="23"/>
        <v>2000(含)-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500</v>
      </c>
      <c r="E103" s="938">
        <v>1000</v>
      </c>
      <c r="F103" s="938">
        <v>2000</v>
      </c>
      <c r="G103" s="938"/>
      <c r="H103" s="938"/>
      <c r="I103" s="938"/>
      <c r="J103" s="939"/>
      <c r="K103" s="939"/>
      <c r="L103" s="940"/>
      <c r="M103" s="941"/>
      <c r="N103" s="1391"/>
      <c r="O103" s="1391"/>
      <c r="P103" s="1380"/>
      <c r="Q103" s="1063"/>
    </row>
    <row r="104" spans="1:17" s="1039" customFormat="1" ht="15" thickBot="1">
      <c r="A104" s="1058"/>
      <c r="B104" s="1055"/>
      <c r="C104" s="903">
        <v>100</v>
      </c>
      <c r="D104" s="879">
        <v>98</v>
      </c>
      <c r="E104" s="879">
        <v>96</v>
      </c>
      <c r="F104" s="879">
        <v>94</v>
      </c>
      <c r="G104" s="879"/>
      <c r="H104" s="879"/>
      <c r="I104" s="879"/>
      <c r="J104" s="879"/>
      <c r="K104" s="879"/>
      <c r="L104" s="879"/>
      <c r="M104" s="880"/>
      <c r="N104" s="1390"/>
      <c r="O104" s="1390"/>
      <c r="P104" s="1380"/>
      <c r="Q104" s="1063"/>
    </row>
    <row r="105" spans="1:17" ht="14.25" thickTop="1">
      <c r="A105" s="175"/>
      <c r="B105" s="1054" t="s">
        <v>1058</v>
      </c>
      <c r="C105" s="3420" t="s">
        <v>3163</v>
      </c>
      <c r="D105" s="3420" t="s">
        <v>3163</v>
      </c>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1059</v>
      </c>
      <c r="C107" s="3420" t="s">
        <v>3164</v>
      </c>
      <c r="D107" s="3420" t="s">
        <v>3165</v>
      </c>
      <c r="E107" s="3420" t="s">
        <v>3166</v>
      </c>
      <c r="F107" s="3423" t="s">
        <v>3167</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1060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3424" t="s">
        <v>3168</v>
      </c>
      <c r="D112" s="3424" t="s">
        <v>3169</v>
      </c>
      <c r="E112" s="3424" t="s">
        <v>3170</v>
      </c>
      <c r="F112" s="3424" t="s">
        <v>3171</v>
      </c>
      <c r="G112" s="3424" t="s">
        <v>3172</v>
      </c>
      <c r="H112" s="131"/>
      <c r="I112" s="131"/>
      <c r="J112" s="131"/>
      <c r="K112" s="132"/>
      <c r="L112" s="133"/>
      <c r="M112" s="134"/>
      <c r="N112" s="1391"/>
      <c r="O112" s="1391"/>
      <c r="P112" s="1380"/>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1"/>
      <c r="O113" s="1391"/>
      <c r="P113" s="1380"/>
      <c r="Q113" s="1063"/>
    </row>
    <row r="114" spans="1:17" ht="14.25" thickTop="1">
      <c r="A114" s="175"/>
      <c r="B114" s="1054" t="s">
        <v>1061</v>
      </c>
      <c r="C114" s="3420" t="s">
        <v>3173</v>
      </c>
      <c r="D114" s="3420" t="s">
        <v>3174</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1062</v>
      </c>
      <c r="C116" s="3420" t="s">
        <v>3175</v>
      </c>
      <c r="D116" s="3420" t="s">
        <v>3176</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15" thickTop="1">
      <c r="A118" s="175"/>
      <c r="B118" s="1054" t="s">
        <v>1063</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1064</v>
      </c>
      <c r="C120" s="3423" t="s">
        <v>3177</v>
      </c>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99</v>
      </c>
      <c r="E121" s="887">
        <f t="shared" ref="E121:M121" si="29">D121-$K41</f>
        <v>98</v>
      </c>
      <c r="F121" s="887">
        <f t="shared" si="29"/>
        <v>97</v>
      </c>
      <c r="G121" s="887">
        <f t="shared" si="29"/>
        <v>96</v>
      </c>
      <c r="H121" s="887">
        <f t="shared" si="29"/>
        <v>95</v>
      </c>
      <c r="I121" s="887">
        <f t="shared" si="29"/>
        <v>94</v>
      </c>
      <c r="J121" s="887">
        <f t="shared" si="29"/>
        <v>93</v>
      </c>
      <c r="K121" s="887">
        <f t="shared" si="29"/>
        <v>92</v>
      </c>
      <c r="L121" s="887">
        <f t="shared" si="29"/>
        <v>91</v>
      </c>
      <c r="M121" s="888">
        <f t="shared" si="29"/>
        <v>90</v>
      </c>
      <c r="N121" s="1391"/>
      <c r="O121" s="1391"/>
      <c r="P121" s="1380"/>
      <c r="Q121" s="1063"/>
    </row>
    <row r="122" spans="1:17" ht="14.25" thickTop="1">
      <c r="A122" s="175"/>
      <c r="B122" s="1054" t="s">
        <v>1065</v>
      </c>
      <c r="C122" s="3420" t="s">
        <v>3164</v>
      </c>
      <c r="D122" s="3420" t="s">
        <v>3165</v>
      </c>
      <c r="E122" s="3420" t="s">
        <v>3166</v>
      </c>
      <c r="F122" s="3423" t="s">
        <v>3167</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1066</v>
      </c>
      <c r="C124" s="181" t="s">
        <v>1047</v>
      </c>
      <c r="D124" s="181" t="s">
        <v>1048</v>
      </c>
      <c r="E124" s="181" t="s">
        <v>1049</v>
      </c>
      <c r="F124" s="181" t="s">
        <v>1050</v>
      </c>
      <c r="G124" s="181" t="s">
        <v>1051</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127" sqref="C127:F132"/>
      <selection pane="bottomLeft" activeCell="E19" sqref="E19"/>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2383</v>
      </c>
      <c r="C1" s="3676" t="s">
        <v>2384</v>
      </c>
      <c r="D1" s="3677"/>
      <c r="E1" s="3677"/>
      <c r="F1" s="3677"/>
      <c r="G1" s="3677"/>
      <c r="H1" s="3677"/>
      <c r="I1" s="3677"/>
      <c r="J1" s="3677"/>
      <c r="K1" s="3677"/>
      <c r="L1" s="3677"/>
      <c r="M1" s="3677"/>
      <c r="N1" s="3677"/>
      <c r="O1" s="3677"/>
      <c r="P1" s="3677"/>
      <c r="Q1" s="3677"/>
      <c r="R1" s="3677"/>
      <c r="S1" s="3678"/>
      <c r="T1" s="2442" t="s">
        <v>2385</v>
      </c>
    </row>
    <row r="2" spans="1:45" s="1116" customFormat="1" ht="25.5">
      <c r="A2" s="2443"/>
      <c r="B2" s="1112" t="s">
        <v>2386</v>
      </c>
      <c r="C2" s="1113" t="str">
        <f t="shared" ref="C2:L2" si="0">C3&amp;"(含)"&amp;"-"&amp;D3</f>
        <v>0(含)-1000</v>
      </c>
      <c r="D2" s="1114" t="str">
        <f t="shared" si="0"/>
        <v>1000(含)-2000</v>
      </c>
      <c r="E2" s="1114" t="str">
        <f t="shared" si="0"/>
        <v>2000(含)-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v>0</v>
      </c>
      <c r="D3" s="1119">
        <v>1000</v>
      </c>
      <c r="E3" s="1119">
        <v>2000</v>
      </c>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v>100</v>
      </c>
      <c r="D4" s="2449">
        <v>99</v>
      </c>
      <c r="E4" s="2449">
        <v>98</v>
      </c>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3030</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3029</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3028</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3027</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3026</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3025</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ht="24.75">
      <c r="A17" s="2485" t="s">
        <v>2387</v>
      </c>
      <c r="B17" s="2486" t="s">
        <v>2388</v>
      </c>
      <c r="C17" s="2469" t="s">
        <v>3078</v>
      </c>
      <c r="D17" s="2470" t="s">
        <v>3076</v>
      </c>
      <c r="E17" s="2470" t="s">
        <v>3079</v>
      </c>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v>100</v>
      </c>
      <c r="D18" s="2482">
        <v>70</v>
      </c>
      <c r="E18" s="2482">
        <v>55</v>
      </c>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6" t="s">
        <v>3063</v>
      </c>
      <c r="E19" s="3353"/>
      <c r="F19" s="3353"/>
      <c r="G19" s="3353"/>
      <c r="H19" s="2539"/>
      <c r="I19" s="500"/>
      <c r="J19" s="500"/>
      <c r="K19" s="500"/>
      <c r="L19" s="500"/>
      <c r="M19" s="500"/>
      <c r="N19" s="500"/>
      <c r="O19" s="500"/>
      <c r="P19" s="500"/>
      <c r="Q19" s="500"/>
      <c r="R19" s="1416"/>
      <c r="S19" s="469"/>
    </row>
    <row r="20" spans="1:45" ht="16.5" thickBot="1">
      <c r="A20" s="1124" t="s">
        <v>519</v>
      </c>
      <c r="B20" s="673">
        <f ca="1">IF(D20="——",S22,S22-F20)</f>
        <v>19541</v>
      </c>
      <c r="C20" s="500"/>
      <c r="D20" s="3426" t="s">
        <v>3209</v>
      </c>
      <c r="E20" s="3354"/>
      <c r="F20" s="2442">
        <f ca="1">SUMIF(INDIRECT("'"&amp;H20&amp;"'"&amp;"!A:A"),"承租人权益价值",INDIRECT("'"&amp;H20&amp;"'"&amp;"!c:c"))</f>
        <v>307</v>
      </c>
      <c r="G20" s="3355" t="s">
        <v>3051</v>
      </c>
      <c r="H20" s="3427" t="s">
        <v>3126</v>
      </c>
      <c r="I20" s="500"/>
      <c r="J20" s="500"/>
      <c r="K20" s="500"/>
      <c r="L20" s="500"/>
      <c r="M20" s="500"/>
      <c r="N20" s="500"/>
      <c r="O20" s="500"/>
      <c r="P20" s="500"/>
      <c r="Q20" s="500"/>
      <c r="R20" s="1416"/>
      <c r="S20" s="469"/>
    </row>
    <row r="21" spans="1:45" ht="15.75">
      <c r="A21" s="1124" t="s">
        <v>520</v>
      </c>
      <c r="B21" s="673">
        <f>R22</f>
        <v>57670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3441.66</v>
      </c>
      <c r="C22" s="3673" t="s">
        <v>167</v>
      </c>
      <c r="D22" s="3674"/>
      <c r="E22" s="3674"/>
      <c r="F22" s="3674"/>
      <c r="G22" s="3674"/>
      <c r="H22" s="3674"/>
      <c r="I22" s="3674"/>
      <c r="J22" s="3674"/>
      <c r="K22" s="3674"/>
      <c r="L22" s="3674"/>
      <c r="M22" s="3674"/>
      <c r="N22" s="3674"/>
      <c r="O22" s="3674"/>
      <c r="P22" s="3674"/>
      <c r="Q22" s="3675"/>
      <c r="R22" s="1125">
        <f>ROUND(S22*10000/B22,0)</f>
        <v>57670</v>
      </c>
      <c r="S22" s="313">
        <f>SUM(S24:S10000)</f>
        <v>19848</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3357" t="s">
        <v>3075</v>
      </c>
      <c r="B24" s="1127">
        <v>1154.3699999999999</v>
      </c>
      <c r="C24" s="1128">
        <v>1</v>
      </c>
      <c r="D24" s="1129"/>
      <c r="E24" s="1128">
        <v>1</v>
      </c>
      <c r="F24" s="1129"/>
      <c r="G24" s="1128">
        <v>1</v>
      </c>
      <c r="H24" s="1129"/>
      <c r="I24" s="1128">
        <v>1</v>
      </c>
      <c r="J24" s="1129"/>
      <c r="K24" s="1128">
        <v>1</v>
      </c>
      <c r="L24" s="1129"/>
      <c r="M24" s="1128">
        <v>1</v>
      </c>
      <c r="N24" s="1129"/>
      <c r="O24" s="1128">
        <v>1</v>
      </c>
      <c r="P24" s="1129" t="s">
        <v>3067</v>
      </c>
      <c r="Q24" s="1128">
        <v>1</v>
      </c>
      <c r="R24" s="1130">
        <f>'比较法-商业'!C49</f>
        <v>76340</v>
      </c>
      <c r="S24" s="1128">
        <f t="shared" ref="S24:S54" si="11">ROUND(R24*B24/10000,0)</f>
        <v>8812</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t="s">
        <v>3076</v>
      </c>
      <c r="B25" s="348">
        <v>1250.81</v>
      </c>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3068</v>
      </c>
      <c r="Q25" s="313">
        <f>(SUMIF($17:$17,P25,$18:$18)-SUMIF($17:$17,$P$24,$18:$18)+100)/100</f>
        <v>0.7</v>
      </c>
      <c r="R25" s="1125">
        <f>IF(B25="",0,ROUND($R$24*C25*E25*G25*I25*K25*M25*O25*Q25,0))</f>
        <v>53438</v>
      </c>
      <c r="S25" s="698">
        <f t="shared" si="11"/>
        <v>6684</v>
      </c>
    </row>
    <row r="26" spans="1:45">
      <c r="A26" s="491" t="s">
        <v>3077</v>
      </c>
      <c r="B26" s="348">
        <v>1036.48</v>
      </c>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t="s">
        <v>3069</v>
      </c>
      <c r="Q26" s="313">
        <f t="shared" ref="Q26:Q89" si="19">(SUMIF($17:$17,P26,$18:$18)-SUMIF($17:$17,$P$24,$18:$18)+100)/100</f>
        <v>0.55000000000000004</v>
      </c>
      <c r="R26" s="1125">
        <f t="shared" ref="R26:R89" si="20">IF(B26="",0,ROUND($R$24*C26*E26*G26*I26*K26*M26*O26*Q26,0))</f>
        <v>41987</v>
      </c>
      <c r="S26" s="698">
        <f t="shared" si="11"/>
        <v>4352</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0</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0</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0</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0</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0</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0</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0</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0</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0</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0</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0</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0</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0</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0</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0</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0</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0</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0</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0</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0</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0</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0</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0</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0</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0</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0</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0</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0</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0</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0</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0</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0</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0</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0</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0</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0</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0</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0</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0</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0</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0</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0</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0</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0</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0</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0</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0</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0</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0</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0</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0</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0</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0</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0</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0</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0</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0</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0</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0</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0</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0</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0</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0</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0</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0</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0</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0</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0</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0</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0</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0</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0</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0</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0</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0</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0</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0</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0</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0</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0</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0</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0</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0</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0</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0</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0</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0</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0</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0</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0</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0</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0</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0</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0</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0</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0</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0</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0</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0</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0</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0</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0</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0</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0</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0</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0</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0</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0</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0</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0</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0</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0</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0</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0</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0</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0</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0</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0</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0</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0</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0</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0</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0</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0</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0</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0</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0</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0</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0</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0</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0</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0</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0</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0</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0</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0</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0</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0</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0</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0</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0</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0</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0</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0</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0</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0</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0</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0</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0</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0</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0</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0</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0</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0</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0</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0</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0</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0</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0</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0</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0</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0</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0</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0</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0</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0</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0</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0</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0</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0</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0</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0</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0</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0</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0</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0</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0</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0</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0</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0</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0</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0</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0</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0</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0</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0</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0</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0</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0</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0</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0</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0</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0</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0</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0</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0</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0</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0</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0</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0</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0</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0</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0</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0</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0</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0</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0</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0</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0</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0</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0</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0</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0</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0</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0</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0</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0</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0</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0</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0</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0</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0</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0</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0</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0</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0</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0</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0</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0</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0</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0</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0</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0</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0</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0</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0</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0</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0</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0</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0</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0</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0</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0</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0</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0</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0</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0</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0</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0</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0</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0</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0</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0</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0</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0</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0</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0</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0</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0</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0</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0</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0</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0</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0</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0</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0</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0</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0</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0</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0</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0</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0</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0</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0</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0</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0</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0</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0</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0</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0</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0</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0</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0</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0</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0</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0</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0</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0</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0</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0</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0</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0</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0</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0</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0</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0</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0</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0</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0</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0</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0</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0</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0</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0</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0</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0</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0</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0</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0</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0</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0</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0</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0</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0</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0</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0</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0</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0</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0</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0</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0</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0</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0</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0</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0</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0</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0</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0</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0</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0</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0</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0</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0</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0</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0</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0</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0</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0</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0</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0</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0</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0</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0</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0</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0</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0</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0</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0</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0</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0</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0</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0</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0</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0</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0</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0</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0</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0</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0</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0</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0</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0</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0</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0</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0</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0</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0</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0</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0</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0</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0</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0</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0</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0</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0</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0</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0</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0</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0</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0</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0</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0</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0</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0</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0</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0</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0</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0</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0</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0</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0</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0</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0</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0</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0</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0</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0</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0</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0</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0</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0</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0</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0</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0</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0</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0</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0</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0</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0</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0</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0</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0</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0</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0</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0</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0</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0</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0</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0</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0</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0</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0</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0</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0</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0</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0</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0</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0</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0</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0</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0</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0</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0</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0</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0</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0</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0</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0</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0</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0</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0</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0</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0</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0</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0</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0</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0</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0</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0</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0</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0</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0</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0</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0</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0</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0</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0</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0</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0</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0</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0</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0</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0</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0</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0</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0</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0</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0</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0</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0</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0</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0</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0</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0</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0</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0</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0</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0</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0</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0</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0</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0</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0</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0</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0</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0</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0</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0</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0</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0</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0</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0</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1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2" sqref="F32"/>
    </sheetView>
  </sheetViews>
  <sheetFormatPr defaultRowHeight="13.5"/>
  <cols>
    <col min="1" max="1" width="23.625" customWidth="1"/>
    <col min="2" max="2" width="12" customWidth="1"/>
    <col min="4" max="4" width="14.125" customWidth="1"/>
    <col min="6" max="6" width="12.875" customWidth="1"/>
  </cols>
  <sheetData>
    <row r="1" spans="1:6" ht="20.25">
      <c r="A1" s="2784" t="s">
        <v>2672</v>
      </c>
      <c r="B1" s="2785"/>
      <c r="C1" s="2785"/>
      <c r="D1" s="2785"/>
      <c r="E1" s="2786"/>
    </row>
    <row r="2" spans="1:6" ht="14.25">
      <c r="A2" s="2787" t="s">
        <v>2673</v>
      </c>
      <c r="B2" s="2781">
        <f ca="1">SUMIF(B6:B13,"&lt;&gt;#ref!",B6:B13)</f>
        <v>13472</v>
      </c>
      <c r="C2" s="2782" t="s">
        <v>2670</v>
      </c>
      <c r="D2" s="2783" t="s">
        <v>2675</v>
      </c>
      <c r="E2" s="2791">
        <f>SUM(E6:E13)</f>
        <v>3441.66</v>
      </c>
    </row>
    <row r="3" spans="1:6" ht="14.25">
      <c r="A3" s="2787" t="s">
        <v>2674</v>
      </c>
      <c r="B3" s="2781">
        <f ca="1">ROUND(B2*10000/E2,0)</f>
        <v>39144</v>
      </c>
      <c r="C3" s="2782" t="s">
        <v>2671</v>
      </c>
      <c r="D3" s="2788"/>
      <c r="E3" s="2792"/>
    </row>
    <row r="4" spans="1:6" ht="14.25">
      <c r="A4" s="2793"/>
      <c r="B4" s="2788"/>
      <c r="C4" s="2788"/>
      <c r="D4" s="2788"/>
      <c r="E4" s="2792"/>
    </row>
    <row r="5" spans="1:6">
      <c r="A5" s="2797" t="s">
        <v>2677</v>
      </c>
      <c r="B5" s="3679" t="s">
        <v>2679</v>
      </c>
      <c r="C5" s="3679"/>
      <c r="D5" s="2796"/>
      <c r="E5" s="3338" t="s">
        <v>2678</v>
      </c>
      <c r="F5" s="3339" t="s">
        <v>3052</v>
      </c>
    </row>
    <row r="6" spans="1:6">
      <c r="A6" s="2794" t="str">
        <f>'数据-取费表'!AN6</f>
        <v>收益法已出租</v>
      </c>
      <c r="B6" s="2790">
        <f ca="1">IF(F6="是",'数据-取费表'!AO6,0)</f>
        <v>11881</v>
      </c>
      <c r="C6" s="2782" t="s">
        <v>2670</v>
      </c>
      <c r="D6" s="2788"/>
      <c r="E6" s="1543">
        <f>IF(OR(A6=0,F6="否"),0,'数据-取费表'!K6+'数据-取费表'!S6)</f>
        <v>3045.67</v>
      </c>
      <c r="F6" s="3340" t="s">
        <v>3053</v>
      </c>
    </row>
    <row r="7" spans="1:6">
      <c r="A7" s="2794" t="str">
        <f>'数据-取费表'!AN7</f>
        <v>收益法未出租</v>
      </c>
      <c r="B7" s="2790">
        <f ca="1">IF(F7="是",'数据-取费表'!AO7,0)</f>
        <v>1591</v>
      </c>
      <c r="C7" s="2782" t="s">
        <v>2670</v>
      </c>
      <c r="D7" s="2788"/>
      <c r="E7" s="1543">
        <f>IF(OR(A7=0,F7="否"),0,'数据-取费表'!K7+'数据-取费表'!S7)</f>
        <v>395.99</v>
      </c>
      <c r="F7" s="3340" t="s">
        <v>3053</v>
      </c>
    </row>
    <row r="8" spans="1:6">
      <c r="A8" s="2794">
        <f>'数据-取费表'!AN8</f>
        <v>0</v>
      </c>
      <c r="B8" s="2790" t="e">
        <f ca="1">IF(F8="是",'数据-取费表'!AO8,0)</f>
        <v>#REF!</v>
      </c>
      <c r="C8" s="2782" t="s">
        <v>2670</v>
      </c>
      <c r="D8" s="2788"/>
      <c r="E8" s="1543">
        <f>IF(OR(A8=0,F8="否"),0,'数据-取费表'!K8+'数据-取费表'!S8)</f>
        <v>0</v>
      </c>
      <c r="F8" s="3340" t="s">
        <v>3053</v>
      </c>
    </row>
    <row r="9" spans="1:6">
      <c r="A9" s="2794">
        <f>'数据-取费表'!AN9</f>
        <v>0</v>
      </c>
      <c r="B9" s="2790" t="e">
        <f ca="1">IF(F9="是",'数据-取费表'!AO9,0)</f>
        <v>#REF!</v>
      </c>
      <c r="C9" s="2782" t="s">
        <v>2670</v>
      </c>
      <c r="D9" s="2788"/>
      <c r="E9" s="1543">
        <f>IF(OR(A9=0,F9="否"),0,'数据-取费表'!K9+'数据-取费表'!S9)</f>
        <v>0</v>
      </c>
      <c r="F9" s="3340" t="s">
        <v>3053</v>
      </c>
    </row>
    <row r="10" spans="1:6">
      <c r="A10" s="2794">
        <f>'数据-取费表'!AN10</f>
        <v>0</v>
      </c>
      <c r="B10" s="2790" t="e">
        <f ca="1">IF(F10="是",'数据-取费表'!AO10,0)</f>
        <v>#REF!</v>
      </c>
      <c r="C10" s="2782" t="s">
        <v>2670</v>
      </c>
      <c r="D10" s="2788"/>
      <c r="E10" s="1543">
        <f>IF(OR(A10=0,F10="否"),0,'数据-取费表'!K10+'数据-取费表'!S10)</f>
        <v>0</v>
      </c>
      <c r="F10" s="3340" t="s">
        <v>3053</v>
      </c>
    </row>
    <row r="11" spans="1:6">
      <c r="A11" s="2794">
        <f>'数据-取费表'!AN11</f>
        <v>0</v>
      </c>
      <c r="B11" s="2790" t="e">
        <f ca="1">IF(F11="是",'数据-取费表'!AO11,0)</f>
        <v>#REF!</v>
      </c>
      <c r="C11" s="2782" t="s">
        <v>2670</v>
      </c>
      <c r="D11" s="2788"/>
      <c r="E11" s="1543">
        <f>IF(OR(A11=0,F11="否"),0,'数据-取费表'!K11+'数据-取费表'!S11)</f>
        <v>0</v>
      </c>
      <c r="F11" s="3340" t="s">
        <v>3053</v>
      </c>
    </row>
    <row r="12" spans="1:6">
      <c r="A12" s="2794">
        <f>'数据-取费表'!AN12</f>
        <v>0</v>
      </c>
      <c r="B12" s="2790" t="e">
        <f ca="1">IF(F12="是",'数据-取费表'!AO12,0)</f>
        <v>#REF!</v>
      </c>
      <c r="C12" s="2782" t="s">
        <v>2670</v>
      </c>
      <c r="D12" s="2788"/>
      <c r="E12" s="1543">
        <f>IF(OR(A12=0,F12="否"),0,'数据-取费表'!K12+'数据-取费表'!S12)</f>
        <v>0</v>
      </c>
      <c r="F12" s="3340" t="s">
        <v>3053</v>
      </c>
    </row>
    <row r="13" spans="1:6" ht="14.25" thickBot="1">
      <c r="A13" s="2795">
        <f>'数据-取费表'!AN13</f>
        <v>0</v>
      </c>
      <c r="B13" s="2790" t="e">
        <f ca="1">IF(F13="是",'数据-取费表'!AO13,0)</f>
        <v>#REF!</v>
      </c>
      <c r="C13" s="2798" t="s">
        <v>2670</v>
      </c>
      <c r="D13" s="2789"/>
      <c r="E13" s="1543">
        <f>IF(OR(A13=0,F13="否"),0,'数据-取费表'!K13+'数据-取费表'!S13)</f>
        <v>0</v>
      </c>
      <c r="F13" s="3340"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80" zoomScaleNormal="80" zoomScaleSheetLayoutView="90" workbookViewId="0">
      <selection activeCell="M28" sqref="M2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3" t="s">
        <v>3130</v>
      </c>
      <c r="D1" s="1274"/>
      <c r="E1" s="2586" t="s">
        <v>2444</v>
      </c>
      <c r="F1" s="2587">
        <f ca="1">J53</f>
        <v>24.01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818</v>
      </c>
      <c r="B2" s="1407">
        <f ca="1">C40+J29+L46</f>
        <v>11881</v>
      </c>
      <c r="C2" s="1300" t="s">
        <v>1102</v>
      </c>
      <c r="D2" s="1276"/>
      <c r="E2" s="2576"/>
      <c r="F2" s="1277"/>
      <c r="G2" s="2288"/>
      <c r="H2" s="1275"/>
      <c r="I2" s="1275"/>
      <c r="J2" s="1275"/>
      <c r="K2" s="1299"/>
      <c r="L2" s="1275"/>
      <c r="M2" s="1275"/>
    </row>
    <row r="3" spans="1:37" ht="18" customHeight="1" thickBot="1">
      <c r="A3" s="675" t="s">
        <v>819</v>
      </c>
      <c r="B3" s="1408">
        <f ca="1">IF(ISERROR(B2*10000/F43),0,ROUND(B2*10000/F43,0))</f>
        <v>39009</v>
      </c>
      <c r="C3" s="1300" t="s">
        <v>1103</v>
      </c>
      <c r="D3" s="1276"/>
      <c r="E3" s="2576"/>
      <c r="F3" s="1277"/>
      <c r="G3" s="2288"/>
      <c r="H3" s="676" t="s">
        <v>909</v>
      </c>
      <c r="I3" s="1275"/>
      <c r="J3" s="1275"/>
      <c r="K3" s="1299"/>
      <c r="L3" s="1275"/>
      <c r="M3" s="1275"/>
    </row>
    <row r="4" spans="1:37" ht="18" customHeight="1">
      <c r="A4" s="677" t="s">
        <v>910</v>
      </c>
      <c r="B4" s="678" t="s">
        <v>911</v>
      </c>
      <c r="C4" s="678" t="s">
        <v>912</v>
      </c>
      <c r="D4" s="678" t="s">
        <v>913</v>
      </c>
      <c r="E4" s="679" t="s">
        <v>914</v>
      </c>
      <c r="F4" s="680"/>
      <c r="G4" s="2289"/>
      <c r="H4" s="677" t="s">
        <v>910</v>
      </c>
      <c r="I4" s="678" t="s">
        <v>911</v>
      </c>
      <c r="J4" s="678" t="s">
        <v>912</v>
      </c>
      <c r="K4" s="678" t="s">
        <v>913</v>
      </c>
      <c r="L4" s="679" t="s">
        <v>914</v>
      </c>
      <c r="M4" s="680"/>
    </row>
    <row r="5" spans="1:37" ht="18" customHeight="1">
      <c r="A5" s="681">
        <v>1</v>
      </c>
      <c r="B5" s="682" t="s">
        <v>2534</v>
      </c>
      <c r="C5" s="2627">
        <f ca="1">C6+C10+C12</f>
        <v>726</v>
      </c>
      <c r="D5" s="2637" t="s">
        <v>2536</v>
      </c>
      <c r="E5" s="2628"/>
      <c r="F5" s="2629"/>
      <c r="G5" s="2289"/>
      <c r="H5" s="681">
        <v>1</v>
      </c>
      <c r="I5" s="682" t="s">
        <v>2534</v>
      </c>
      <c r="J5" s="2627">
        <f ca="1">J6+J10+J12</f>
        <v>925</v>
      </c>
      <c r="K5" s="2630" t="s">
        <v>2536</v>
      </c>
      <c r="L5" s="2628"/>
      <c r="M5" s="2629"/>
    </row>
    <row r="6" spans="1:37" ht="18" customHeight="1">
      <c r="A6" s="2623" t="s">
        <v>2541</v>
      </c>
      <c r="B6" s="3682" t="s">
        <v>2535</v>
      </c>
      <c r="C6" s="2632">
        <f ca="1">ROUND(F6*F8*F7*(1-F9)/10000,0)</f>
        <v>725</v>
      </c>
      <c r="D6" s="2626" t="s">
        <v>2537</v>
      </c>
      <c r="E6" s="684" t="s">
        <v>915</v>
      </c>
      <c r="F6" s="685">
        <f ca="1">INDIRECT("'数据-取费表'!u"&amp;$G$1)</f>
        <v>6.52</v>
      </c>
      <c r="G6" s="2289"/>
      <c r="H6" s="2623" t="s">
        <v>2544</v>
      </c>
      <c r="I6" s="3682" t="s">
        <v>2535</v>
      </c>
      <c r="J6" s="683">
        <f ca="1">ROUND(M6*M8*M7*(1-M9)/10000,0)</f>
        <v>924</v>
      </c>
      <c r="K6" s="2626" t="s">
        <v>2537</v>
      </c>
      <c r="L6" s="684" t="s">
        <v>915</v>
      </c>
      <c r="M6" s="685">
        <f ca="1">INDIRECT("'数据-取费表'!z"&amp;$G$1)</f>
        <v>9.24</v>
      </c>
    </row>
    <row r="7" spans="1:37" ht="18" customHeight="1">
      <c r="A7" s="2631"/>
      <c r="B7" s="3683"/>
      <c r="C7" s="2633"/>
      <c r="D7" s="2062"/>
      <c r="E7" s="2634" t="s">
        <v>916</v>
      </c>
      <c r="F7" s="685">
        <f ca="1">IF(INDIRECT("'数据-取费表'!ah"&amp;$G$1)="",INDIRECT("'数据-取费表'!k"&amp;$G$1),INDIRECT("'数据-取费表'!ah"&amp;$G$1))</f>
        <v>3045.67</v>
      </c>
      <c r="G7" s="2289"/>
      <c r="H7" s="686"/>
      <c r="I7" s="3683"/>
      <c r="J7" s="688"/>
      <c r="K7" s="689"/>
      <c r="L7" s="684" t="s">
        <v>916</v>
      </c>
      <c r="M7" s="685">
        <f ca="1">F7</f>
        <v>3045.67</v>
      </c>
    </row>
    <row r="8" spans="1:37" ht="18" customHeight="1">
      <c r="A8" s="686"/>
      <c r="B8" s="3683"/>
      <c r="C8" s="688"/>
      <c r="D8" s="689"/>
      <c r="E8" s="684" t="s">
        <v>917</v>
      </c>
      <c r="F8" s="685">
        <f ca="1">INDIRECT("'数据-取费表'!ai"&amp;$G$1)</f>
        <v>365</v>
      </c>
      <c r="G8" s="2289"/>
      <c r="H8" s="686"/>
      <c r="I8" s="3683"/>
      <c r="J8" s="688"/>
      <c r="K8" s="689"/>
      <c r="L8" s="684" t="s">
        <v>917</v>
      </c>
      <c r="M8" s="685">
        <f ca="1">INDIRECT("'数据-取费表'!ai"&amp;$G$1)</f>
        <v>365</v>
      </c>
    </row>
    <row r="9" spans="1:37" ht="18" customHeight="1">
      <c r="A9" s="686"/>
      <c r="B9" s="3684"/>
      <c r="C9" s="688"/>
      <c r="D9" s="689"/>
      <c r="E9" s="684" t="s">
        <v>918</v>
      </c>
      <c r="F9" s="694">
        <f ca="1">INDIRECT("'数据-取费表'!w"&amp;$G$1)</f>
        <v>0</v>
      </c>
      <c r="G9" s="2289"/>
      <c r="H9" s="686"/>
      <c r="I9" s="3684"/>
      <c r="J9" s="688"/>
      <c r="K9" s="689"/>
      <c r="L9" s="695" t="s">
        <v>918</v>
      </c>
      <c r="M9" s="696">
        <f ca="1">INDIRECT("'数据-取费表'!ab"&amp;$G$1)</f>
        <v>0.1</v>
      </c>
    </row>
    <row r="10" spans="1:37" ht="18" customHeight="1">
      <c r="A10" s="2623" t="s">
        <v>2542</v>
      </c>
      <c r="B10" s="2624" t="s">
        <v>2530</v>
      </c>
      <c r="C10" s="698">
        <f ca="1">ROUND(IF(F10="押一",F6*F8*F7/12*F11,IF(F10="押二",F6*F8*F7/12*2*F11,IF(F10="押三",F6*F8*F7/12*3*F11,C11*F11)))/10000,0)</f>
        <v>1</v>
      </c>
      <c r="D10" s="2635" t="s">
        <v>2538</v>
      </c>
      <c r="E10" s="2098" t="s">
        <v>2532</v>
      </c>
      <c r="F10" s="2829" t="s">
        <v>3073</v>
      </c>
      <c r="G10" s="2289"/>
      <c r="H10" s="2623" t="s">
        <v>2545</v>
      </c>
      <c r="I10" s="2624" t="s">
        <v>2530</v>
      </c>
      <c r="J10" s="683">
        <f ca="1">ROUND(IF(M10="押一",M6*M8*M7/12*M11,IF(M10="押二",M6*M8*M7/12*2*M11,IF(M10="押三",M6*M8*M7/12*3*M11,J11*M11)))/10000,0)</f>
        <v>1</v>
      </c>
      <c r="K10" s="2635" t="s">
        <v>2538</v>
      </c>
      <c r="L10" s="2098" t="s">
        <v>2532</v>
      </c>
      <c r="M10" s="2730" t="s">
        <v>3073</v>
      </c>
    </row>
    <row r="11" spans="1:37" ht="18" customHeight="1">
      <c r="A11" s="690"/>
      <c r="B11" s="2625" t="s">
        <v>2696</v>
      </c>
      <c r="C11" s="2416"/>
      <c r="D11" s="2868"/>
      <c r="E11" s="2098" t="s">
        <v>2533</v>
      </c>
      <c r="F11" s="696">
        <f ca="1">'数据-取费表'!B39</f>
        <v>1.4999999999999999E-2</v>
      </c>
      <c r="G11" s="2289"/>
      <c r="H11" s="2636"/>
      <c r="I11" s="2625" t="s">
        <v>2696</v>
      </c>
      <c r="J11" s="2416"/>
      <c r="K11" s="1281"/>
      <c r="L11" s="2098" t="s">
        <v>2533</v>
      </c>
      <c r="M11" s="2097">
        <f ca="1">'数据-取费表'!B39</f>
        <v>1.4999999999999999E-2</v>
      </c>
    </row>
    <row r="12" spans="1:37" ht="18" customHeight="1" thickBot="1">
      <c r="A12" s="2671" t="s">
        <v>2543</v>
      </c>
      <c r="B12" s="2672" t="s">
        <v>2531</v>
      </c>
      <c r="C12" s="2673"/>
      <c r="D12" s="2674"/>
      <c r="E12" s="2675"/>
      <c r="F12" s="2676"/>
      <c r="G12" s="2289"/>
      <c r="H12" s="2671" t="s">
        <v>2546</v>
      </c>
      <c r="I12" s="2672" t="s">
        <v>2531</v>
      </c>
      <c r="J12" s="2673"/>
      <c r="K12" s="2690"/>
      <c r="L12" s="2675"/>
      <c r="M12" s="2691"/>
    </row>
    <row r="13" spans="1:37" ht="18" customHeight="1" thickTop="1">
      <c r="A13" s="2667">
        <v>2</v>
      </c>
      <c r="B13" s="2668" t="s">
        <v>919</v>
      </c>
      <c r="C13" s="692">
        <f ca="1">ROUND(C29*F13,0)</f>
        <v>1010</v>
      </c>
      <c r="D13" s="2669" t="s">
        <v>920</v>
      </c>
      <c r="E13" s="2669" t="s">
        <v>921</v>
      </c>
      <c r="F13" s="2670">
        <f ca="1">INDIRECT("'数据-取费表'!y"&amp;$G$1)</f>
        <v>0.77</v>
      </c>
      <c r="G13" s="2289"/>
      <c r="H13" s="2667">
        <v>2</v>
      </c>
      <c r="I13" s="2668" t="s">
        <v>919</v>
      </c>
      <c r="J13" s="2622">
        <f ca="1">ROUND(J14*J15,0)</f>
        <v>879</v>
      </c>
      <c r="K13" s="2677" t="s">
        <v>920</v>
      </c>
      <c r="L13" s="2688"/>
      <c r="M13" s="2689"/>
    </row>
    <row r="14" spans="1:37" ht="18" customHeight="1">
      <c r="A14" s="2439" t="s">
        <v>2371</v>
      </c>
      <c r="B14" s="684" t="s">
        <v>357</v>
      </c>
      <c r="C14" s="702">
        <f ca="1">INDIRECT("'数据-取费表'!m"&amp;$G$1)+INDIRECT("'数据-取费表'!t"&amp;$G$1)</f>
        <v>853</v>
      </c>
      <c r="D14" s="2216" t="s">
        <v>922</v>
      </c>
      <c r="E14" s="2215"/>
      <c r="F14" s="703"/>
      <c r="G14" s="2289"/>
      <c r="H14" s="2439" t="s">
        <v>2374</v>
      </c>
      <c r="I14" s="684" t="s">
        <v>923</v>
      </c>
      <c r="J14" s="313">
        <f ca="1">C29</f>
        <v>1312</v>
      </c>
      <c r="K14" s="303"/>
      <c r="L14" s="700"/>
      <c r="M14" s="701"/>
    </row>
    <row r="15" spans="1:37" s="706" customFormat="1" ht="18" customHeight="1" thickBot="1">
      <c r="A15" s="2439" t="s">
        <v>2607</v>
      </c>
      <c r="B15" s="684" t="s">
        <v>358</v>
      </c>
      <c r="C15" s="313">
        <f ca="1">ROUND(C14*F15,0)</f>
        <v>26</v>
      </c>
      <c r="D15" s="704" t="s">
        <v>924</v>
      </c>
      <c r="E15" s="704" t="s">
        <v>925</v>
      </c>
      <c r="F15" s="705">
        <f>'数据-取费表'!B33</f>
        <v>0.03</v>
      </c>
      <c r="G15" s="2290"/>
      <c r="H15" s="2679" t="s">
        <v>2381</v>
      </c>
      <c r="I15" s="2680" t="s">
        <v>921</v>
      </c>
      <c r="J15" s="2691">
        <f ca="1">INDIRECT("'数据-取费表'!ad"&amp;$G$1)</f>
        <v>0.67</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2608</v>
      </c>
      <c r="B16" s="684" t="s">
        <v>359</v>
      </c>
      <c r="C16" s="313">
        <f ca="1">ROUND(INDIRECT("'数据-取费表'!m"&amp;$G$1)*F16,0)</f>
        <v>0</v>
      </c>
      <c r="D16" s="684" t="s">
        <v>924</v>
      </c>
      <c r="E16" s="684" t="s">
        <v>925</v>
      </c>
      <c r="F16" s="707">
        <f ca="1">IF(INDIRECT("'数据-取费表'!c"&amp;$G$1)="住宅",'数据-取费表'!B34,0)</f>
        <v>0</v>
      </c>
      <c r="G16" s="2289"/>
      <c r="H16" s="2667" t="s">
        <v>2339</v>
      </c>
      <c r="I16" s="2668" t="s">
        <v>926</v>
      </c>
      <c r="J16" s="692">
        <f ca="1">ROUND(J17+J22+J23+J24,0)</f>
        <v>141</v>
      </c>
      <c r="K16" s="2677" t="s">
        <v>927</v>
      </c>
      <c r="L16" s="2678"/>
      <c r="M16" s="2629"/>
    </row>
    <row r="17" spans="1:37" s="706" customFormat="1" ht="18" customHeight="1">
      <c r="A17" s="2439" t="s">
        <v>2609</v>
      </c>
      <c r="B17" s="684" t="s">
        <v>360</v>
      </c>
      <c r="C17" s="313">
        <f ca="1">ROUND(F17*(F43+INDIRECT("'数据-取费表'!S"&amp;$G$1))/10000,0)</f>
        <v>61</v>
      </c>
      <c r="D17" s="684" t="s">
        <v>928</v>
      </c>
      <c r="E17" s="684" t="s">
        <v>929</v>
      </c>
      <c r="F17" s="315">
        <f>'数据-取费表'!B35</f>
        <v>200</v>
      </c>
      <c r="G17" s="2290"/>
      <c r="H17" s="2439" t="s">
        <v>2374</v>
      </c>
      <c r="I17" s="684" t="s">
        <v>361</v>
      </c>
      <c r="J17" s="313">
        <f ca="1">ROUND(IF(项目基本情况!B11="自然人",J5*M17,J18+J19+J20),1)</f>
        <v>111</v>
      </c>
      <c r="K17" s="2216" t="s">
        <v>930</v>
      </c>
      <c r="L17" s="2214" t="s">
        <v>931</v>
      </c>
      <c r="M17" s="708">
        <f ca="1">IF(项目基本情况!B11="企业","",IF(INDIRECT("'数据-取费表'!c"&amp;$G$1)="住宅",5%,IF(M6*M7*M8/12/(1+'数据-取费表'!C42)&gt;20000,12%,7%)))</f>
        <v>0.12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2610</v>
      </c>
      <c r="B18" s="684" t="s">
        <v>362</v>
      </c>
      <c r="C18" s="313">
        <f ca="1">ROUND(C14*F18,0)</f>
        <v>13</v>
      </c>
      <c r="D18" s="684" t="s">
        <v>924</v>
      </c>
      <c r="E18" s="684" t="s">
        <v>925</v>
      </c>
      <c r="F18" s="707">
        <f>'数据-取费表'!B36</f>
        <v>1.4999999999999999E-2</v>
      </c>
      <c r="G18" s="2290"/>
      <c r="H18" s="2439" t="s">
        <v>2371</v>
      </c>
      <c r="I18" s="684" t="s">
        <v>932</v>
      </c>
      <c r="J18" s="313">
        <f ca="1">ROUND(J5*M18/(1+'数据-取费表'!C42),2)</f>
        <v>47.13</v>
      </c>
      <c r="K18" s="2214" t="s">
        <v>933</v>
      </c>
      <c r="L18" s="684" t="s">
        <v>925</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2541</v>
      </c>
      <c r="B19" s="684" t="s">
        <v>364</v>
      </c>
      <c r="C19" s="313">
        <f ca="1">SUM(C14:C18)</f>
        <v>953</v>
      </c>
      <c r="D19" s="471" t="s">
        <v>934</v>
      </c>
      <c r="E19" s="2224"/>
      <c r="F19" s="315"/>
      <c r="G19" s="2289"/>
      <c r="H19" s="2439" t="s">
        <v>2607</v>
      </c>
      <c r="I19" s="684" t="s">
        <v>935</v>
      </c>
      <c r="J19" s="313">
        <f ca="1">IF(K19="按租金收入计税",ROUND(J5*M19,2),ROUND(C29*M19*0.7,2))</f>
        <v>11.02</v>
      </c>
      <c r="K19" s="1301" t="s">
        <v>2414</v>
      </c>
      <c r="L19" s="684" t="s">
        <v>925</v>
      </c>
      <c r="M19" s="707">
        <f>IF(K19="按租金收入计税",'数据-取费表'!B51,'数据-取费表'!B50)</f>
        <v>1.2E-2</v>
      </c>
    </row>
    <row r="20" spans="1:37" s="706" customFormat="1" ht="18" customHeight="1">
      <c r="A20" s="2439" t="s">
        <v>2611</v>
      </c>
      <c r="B20" s="684" t="s">
        <v>365</v>
      </c>
      <c r="C20" s="313">
        <f ca="1">ROUND(C19*F20,0)</f>
        <v>19</v>
      </c>
      <c r="D20" s="709" t="s">
        <v>936</v>
      </c>
      <c r="E20" s="684" t="s">
        <v>925</v>
      </c>
      <c r="F20" s="707">
        <f>'数据-取费表'!B37</f>
        <v>0.02</v>
      </c>
      <c r="G20" s="2290"/>
      <c r="H20" s="2439" t="s">
        <v>2608</v>
      </c>
      <c r="I20" s="496" t="s">
        <v>937</v>
      </c>
      <c r="J20" s="314">
        <f ca="1">ROUND(M20*M21/10000,2)</f>
        <v>0</v>
      </c>
      <c r="K20" s="710" t="s">
        <v>938</v>
      </c>
      <c r="L20" s="684" t="s">
        <v>939</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2612</v>
      </c>
      <c r="B21" s="684" t="s">
        <v>940</v>
      </c>
      <c r="C21" s="313" t="s">
        <v>69</v>
      </c>
      <c r="D21" s="709" t="s">
        <v>941</v>
      </c>
      <c r="E21" s="684" t="s">
        <v>942</v>
      </c>
      <c r="F21" s="707">
        <f>'数据-取费表'!B38</f>
        <v>0.02</v>
      </c>
      <c r="G21" s="2290"/>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2613</v>
      </c>
      <c r="B22" s="684" t="s">
        <v>944</v>
      </c>
      <c r="C22" s="313"/>
      <c r="D22" s="2702" t="str">
        <f>IF(F23&lt;=1,"单利计息。","复利计息。")&amp;"建造成本、管理费用、销售费用产生的利息。"</f>
        <v>复利计息。建造成本、管理费用、销售费用产生的利息。</v>
      </c>
      <c r="E22" s="2224"/>
      <c r="F22" s="315"/>
      <c r="G22" s="2289"/>
      <c r="H22" s="2439" t="s">
        <v>2381</v>
      </c>
      <c r="I22" s="684" t="s">
        <v>945</v>
      </c>
      <c r="J22" s="313">
        <f ca="1">ROUND(J14*M22,1)</f>
        <v>19.7</v>
      </c>
      <c r="K22" s="2214" t="s">
        <v>946</v>
      </c>
      <c r="L22" s="684" t="s">
        <v>925</v>
      </c>
      <c r="M22" s="714">
        <f ca="1">INDIRECT("'数据-取费表'!Ak"&amp;$G$1)</f>
        <v>1.4999999999999999E-2</v>
      </c>
    </row>
    <row r="23" spans="1:37" s="706" customFormat="1" ht="18" customHeight="1">
      <c r="A23" s="2439" t="s">
        <v>2371</v>
      </c>
      <c r="B23" s="684" t="s">
        <v>2527</v>
      </c>
      <c r="C23" s="313">
        <f ca="1">IF('数据-取费表'!B22&lt;=1,ROUND(C19*F24*F23/2,0)+ROUND(C20*F24*F23/2,0),ROUND(C19*(POWER((1+F24),F23/2)-1),0)+ROUND(C20*(POWER((1+F24),F23/2)-1),0))</f>
        <v>46</v>
      </c>
      <c r="D23" s="2706" t="str">
        <f>IF(F23&lt;=1,"(建造成本+管理费用)×利率×(建设周期÷2)","(建造成本+管理费用)×((1+利率)^(建设周期÷2)-1)")</f>
        <v>(建造成本+管理费用)×((1+利率)^(建设周期÷2)-1)</v>
      </c>
      <c r="E23" s="684" t="s">
        <v>947</v>
      </c>
      <c r="F23" s="711">
        <f>'数据-取费表'!B20</f>
        <v>2</v>
      </c>
      <c r="G23" s="2290"/>
      <c r="H23" s="2439" t="s">
        <v>2612</v>
      </c>
      <c r="I23" s="684" t="s">
        <v>366</v>
      </c>
      <c r="J23" s="313">
        <f ca="1">ROUND(J13*M23,1)</f>
        <v>1.3</v>
      </c>
      <c r="K23" s="2214" t="s">
        <v>948</v>
      </c>
      <c r="L23" s="684" t="s">
        <v>925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2377</v>
      </c>
      <c r="B24" s="684" t="s">
        <v>949</v>
      </c>
      <c r="C24" s="313">
        <f ca="1">ROUND(IF('数据-取费表'!B22&lt;=1,F21*F24*F23/2,F21*(POWER((1+F24),F23/2)-1)),4)</f>
        <v>1E-3</v>
      </c>
      <c r="D24" s="2706" t="str">
        <f>IF(F23&lt;=1,"销售费用×利率×(建设周期÷2)","销售费用×((1+利率)^(建设周期÷2)-1)")</f>
        <v>销售费用×((1+利率)^(建设周期÷2)-1)</v>
      </c>
      <c r="E24" s="684" t="s">
        <v>950</v>
      </c>
      <c r="F24" s="717">
        <f ca="1">'数据-取费表'!B40</f>
        <v>4.7500000000000001E-2</v>
      </c>
      <c r="G24" s="2290"/>
      <c r="H24" s="2679" t="s">
        <v>2613</v>
      </c>
      <c r="I24" s="2680" t="s">
        <v>365</v>
      </c>
      <c r="J24" s="2681">
        <f ca="1">ROUND(J5*M24,1)</f>
        <v>9.3000000000000007</v>
      </c>
      <c r="K24" s="2682" t="s">
        <v>951</v>
      </c>
      <c r="L24" s="2680" t="s">
        <v>925</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2378</v>
      </c>
      <c r="B25" s="684" t="s">
        <v>370</v>
      </c>
      <c r="C25" s="313"/>
      <c r="D25" s="471" t="s">
        <v>952</v>
      </c>
      <c r="E25" s="2224"/>
      <c r="F25" s="315"/>
      <c r="G25" s="2289"/>
      <c r="H25" s="2667" t="s">
        <v>2354</v>
      </c>
      <c r="I25" s="2684" t="s">
        <v>953</v>
      </c>
      <c r="J25" s="692">
        <f ca="1">J5-J16</f>
        <v>784</v>
      </c>
      <c r="K25" s="2685" t="s">
        <v>954</v>
      </c>
      <c r="L25" s="2686"/>
      <c r="M25" s="2687"/>
    </row>
    <row r="26" spans="1:37" ht="18" customHeight="1">
      <c r="A26" s="2439" t="s">
        <v>2371</v>
      </c>
      <c r="B26" s="684" t="s">
        <v>2528</v>
      </c>
      <c r="C26" s="313">
        <f ca="1">ROUND((C19+C20)*F26,0)</f>
        <v>194</v>
      </c>
      <c r="D26" s="709" t="s">
        <v>955</v>
      </c>
      <c r="E26" s="695" t="s">
        <v>956</v>
      </c>
      <c r="F26" s="694">
        <f ca="1">INDIRECT("'数据-取费表'!q"&amp;$G$1)</f>
        <v>0.2</v>
      </c>
      <c r="G26" s="2289"/>
      <c r="H26" s="681" t="s">
        <v>2357</v>
      </c>
      <c r="I26" s="682" t="s">
        <v>957</v>
      </c>
      <c r="J26" s="683">
        <f ca="1">IF(J5&lt;&gt;0,ROUND(J25*(1-((1+M28)/(1+M26))^M27)/(M26-M28),0),0)</f>
        <v>12153</v>
      </c>
      <c r="K26" s="710" t="s">
        <v>958</v>
      </c>
      <c r="L26" s="684" t="s">
        <v>964</v>
      </c>
      <c r="M26" s="694">
        <f ca="1">INDIRECT("'数据-取费表'!I"&amp;$G$1)</f>
        <v>5.5E-2</v>
      </c>
    </row>
    <row r="27" spans="1:37" ht="18" customHeight="1">
      <c r="A27" s="2439" t="s">
        <v>2377</v>
      </c>
      <c r="B27" s="684" t="s">
        <v>373</v>
      </c>
      <c r="C27" s="313">
        <f ca="1">ROUND(F21*F26,4)</f>
        <v>4.0000000000000001E-3</v>
      </c>
      <c r="D27" s="709" t="s">
        <v>959</v>
      </c>
      <c r="E27" s="704"/>
      <c r="F27" s="705"/>
      <c r="G27" s="2289"/>
      <c r="H27" s="686"/>
      <c r="I27" s="687"/>
      <c r="J27" s="688"/>
      <c r="K27" s="718" t="s">
        <v>960</v>
      </c>
      <c r="L27" s="684" t="s">
        <v>965</v>
      </c>
      <c r="M27" s="719">
        <f ca="1">INDIRECT("'数据-取费表'!ag"&amp;$G$1)</f>
        <v>18.48</v>
      </c>
    </row>
    <row r="28" spans="1:37" s="706" customFormat="1" ht="18" customHeight="1">
      <c r="A28" s="2439" t="s">
        <v>2379</v>
      </c>
      <c r="B28" s="684" t="s">
        <v>374</v>
      </c>
      <c r="C28" s="313">
        <f>ROUND(F28/(1+'数据-取费表'!C42),4)</f>
        <v>5.0999999999999997E-2</v>
      </c>
      <c r="D28" s="709" t="s">
        <v>966</v>
      </c>
      <c r="E28" s="684" t="s">
        <v>925</v>
      </c>
      <c r="F28" s="707">
        <f>'数据-取费表'!B41</f>
        <v>5.3500000000000006E-2</v>
      </c>
      <c r="G28" s="2290"/>
      <c r="H28" s="690"/>
      <c r="I28" s="691"/>
      <c r="J28" s="692"/>
      <c r="K28" s="713"/>
      <c r="L28" s="684" t="s">
        <v>967</v>
      </c>
      <c r="M28" s="694">
        <f ca="1">INDIRECT("'数据-取费表'!aa"&amp;$G$1)</f>
        <v>0.04</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2380</v>
      </c>
      <c r="B29" s="2680" t="s">
        <v>968</v>
      </c>
      <c r="C29" s="2681">
        <f ca="1">ROUND((C19+C20+C23+C26)/(1-F21-C24-C27-C28),0)</f>
        <v>1312</v>
      </c>
      <c r="D29" s="2682"/>
      <c r="E29" s="2680"/>
      <c r="F29" s="2683"/>
      <c r="G29" s="2290"/>
      <c r="H29" s="720" t="s">
        <v>2364</v>
      </c>
      <c r="I29" s="721" t="s">
        <v>961</v>
      </c>
      <c r="J29" s="722">
        <f ca="1">ROUND(J26/(1+F40)^F41,0)</f>
        <v>9039</v>
      </c>
      <c r="K29" s="723" t="s">
        <v>962</v>
      </c>
      <c r="L29" s="724"/>
      <c r="M29" s="725">
        <f ca="1">INDIRECT("'数据-取费表'!k"&amp;$G$1)</f>
        <v>3045.67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2339</v>
      </c>
      <c r="B30" s="2668" t="s">
        <v>926</v>
      </c>
      <c r="C30" s="692">
        <f ca="1">ROUND(C31+C36+C37+C38,0)</f>
        <v>116</v>
      </c>
      <c r="D30" s="2677" t="s">
        <v>927</v>
      </c>
      <c r="E30" s="2678"/>
      <c r="F30" s="2629"/>
      <c r="G30" s="2289"/>
      <c r="H30" s="1278"/>
      <c r="I30" s="1279"/>
      <c r="J30" s="1280"/>
      <c r="K30" s="1281"/>
      <c r="L30" s="1282"/>
      <c r="M30" s="1283"/>
    </row>
    <row r="31" spans="1:37" ht="18" customHeight="1">
      <c r="A31" s="2439" t="s">
        <v>2541</v>
      </c>
      <c r="B31" s="684" t="s">
        <v>361</v>
      </c>
      <c r="C31" s="313">
        <f ca="1">ROUND(IF(项目基本情况!B11="自然人",C5*F31,C32+C33+C34),1)</f>
        <v>87.1</v>
      </c>
      <c r="D31" s="2216" t="s">
        <v>930</v>
      </c>
      <c r="E31" s="2214" t="s">
        <v>969</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2606</v>
      </c>
      <c r="B32" s="684" t="s">
        <v>932</v>
      </c>
      <c r="C32" s="313" t="str">
        <f>IF(项目基本情况!B11="自然人","——",ROUND(C5*F32/(1+'数据-取费表'!C42),2))</f>
        <v>——</v>
      </c>
      <c r="D32" s="2214" t="s">
        <v>933</v>
      </c>
      <c r="E32" s="684" t="s">
        <v>925</v>
      </c>
      <c r="F32" s="717">
        <f>'数据-取费表'!B41</f>
        <v>5.3500000000000006E-2</v>
      </c>
      <c r="G32" s="2289"/>
      <c r="H32" s="1284"/>
      <c r="I32" s="1285"/>
      <c r="J32" s="1286"/>
      <c r="K32" s="1287"/>
      <c r="L32" s="1288"/>
      <c r="M32" s="1289"/>
    </row>
    <row r="33" spans="1:18" ht="18" customHeight="1">
      <c r="A33" s="2439" t="s">
        <v>2607</v>
      </c>
      <c r="B33" s="684" t="s">
        <v>935</v>
      </c>
      <c r="C33" s="313" t="str">
        <f ca="1">IF(项目基本情况!B11="自然人","——",IF(D33="按租金收入计税",ROUND(C5*F33,2),IF(D33="按房产原值计税",ROUND(C29*F33*0.7,2),INDIRECT("'数据-取费表'!Aj"&amp;$G$1))))</f>
        <v>——</v>
      </c>
      <c r="D33" s="1301" t="s">
        <v>2414</v>
      </c>
      <c r="E33" s="684" t="s">
        <v>363</v>
      </c>
      <c r="F33" s="707">
        <f>IF(D33="按票据","——",IF(D33="按租金收入计税",'数据-取费表'!B51,'数据-取费表'!B50))</f>
        <v>1.2E-2</v>
      </c>
      <c r="G33" s="2289"/>
      <c r="H33" s="1290"/>
      <c r="I33" s="2882"/>
      <c r="J33" s="2883"/>
      <c r="K33" s="1291"/>
      <c r="L33" s="1290"/>
      <c r="M33" s="1290"/>
    </row>
    <row r="34" spans="1:18" ht="18" customHeight="1">
      <c r="A34" s="2623" t="s">
        <v>2608</v>
      </c>
      <c r="B34" s="496" t="s">
        <v>970</v>
      </c>
      <c r="C34" s="314" t="str">
        <f>IF(项目基本情况!B11="自然人","——",ROUND(F34*F35/10000,2))</f>
        <v>——</v>
      </c>
      <c r="D34" s="710" t="s">
        <v>971</v>
      </c>
      <c r="E34" s="684" t="s">
        <v>972</v>
      </c>
      <c r="F34" s="711">
        <f>'数据-取费表'!B52</f>
        <v>12</v>
      </c>
      <c r="G34" s="2289"/>
      <c r="H34" s="1278"/>
      <c r="I34" s="2882"/>
      <c r="J34" s="2883"/>
      <c r="K34" s="1292"/>
      <c r="L34" s="1293"/>
      <c r="M34" s="1293"/>
    </row>
    <row r="35" spans="1:18" ht="18" customHeight="1">
      <c r="A35" s="2697"/>
      <c r="B35" s="2695"/>
      <c r="C35" s="318"/>
      <c r="D35" s="713"/>
      <c r="E35" s="684" t="s">
        <v>943</v>
      </c>
      <c r="F35" s="685">
        <f ca="1">INDIRECT("'数据-取费表'!r"&amp;$G$1)</f>
        <v>0</v>
      </c>
      <c r="G35" s="2289"/>
      <c r="H35" s="1278"/>
      <c r="I35" s="2882"/>
      <c r="J35" s="2883"/>
      <c r="K35" s="1291"/>
      <c r="L35" s="1290"/>
      <c r="M35" s="1290"/>
    </row>
    <row r="36" spans="1:18" ht="18" customHeight="1">
      <c r="A36" s="2696" t="s">
        <v>2381</v>
      </c>
      <c r="B36" s="684" t="s">
        <v>945</v>
      </c>
      <c r="C36" s="313">
        <f ca="1">ROUND(C29*F36,1)</f>
        <v>19.7</v>
      </c>
      <c r="D36" s="2214" t="s">
        <v>975</v>
      </c>
      <c r="E36" s="684" t="s">
        <v>976</v>
      </c>
      <c r="F36" s="714">
        <f ca="1">INDIRECT("'数据-取费表'!Ak"&amp;$G$1)</f>
        <v>1.4999999999999999E-2</v>
      </c>
      <c r="G36" s="2289"/>
      <c r="H36" s="1290"/>
      <c r="I36" s="2882"/>
      <c r="J36" s="2883"/>
      <c r="K36" s="1294"/>
      <c r="L36" s="1290"/>
      <c r="M36" s="1290"/>
    </row>
    <row r="37" spans="1:18" ht="18" customHeight="1">
      <c r="A37" s="2439" t="s">
        <v>2612</v>
      </c>
      <c r="B37" s="684" t="s">
        <v>366</v>
      </c>
      <c r="C37" s="313">
        <f ca="1">ROUND(C13*F37,1)</f>
        <v>1.5</v>
      </c>
      <c r="D37" s="2214" t="s">
        <v>367</v>
      </c>
      <c r="E37" s="684" t="s">
        <v>368</v>
      </c>
      <c r="F37" s="716">
        <f ca="1">INDIRECT("'数据-取费表'!Al"&amp;$G$1)</f>
        <v>1.5E-3</v>
      </c>
      <c r="G37" s="2289"/>
      <c r="H37" s="1290"/>
      <c r="I37" s="2882"/>
      <c r="J37" s="2883"/>
      <c r="K37" s="1294"/>
      <c r="L37" s="1290"/>
      <c r="M37" s="1290"/>
    </row>
    <row r="38" spans="1:18" ht="18" customHeight="1" thickBot="1">
      <c r="A38" s="2679" t="s">
        <v>2613</v>
      </c>
      <c r="B38" s="2680" t="s">
        <v>365</v>
      </c>
      <c r="C38" s="2681">
        <f ca="1">ROUND(C5*F38,1)</f>
        <v>7.3</v>
      </c>
      <c r="D38" s="2682" t="s">
        <v>369</v>
      </c>
      <c r="E38" s="2680" t="s">
        <v>368</v>
      </c>
      <c r="F38" s="2676">
        <f ca="1">INDIRECT("'数据-取费表'!Am"&amp;$G$1)</f>
        <v>0.01</v>
      </c>
      <c r="G38" s="2289"/>
      <c r="H38" s="1290"/>
      <c r="I38" s="2882"/>
      <c r="J38" s="2883"/>
      <c r="K38" s="1295"/>
      <c r="L38" s="1290"/>
      <c r="M38" s="1290"/>
    </row>
    <row r="39" spans="1:18" ht="24.6" customHeight="1" thickTop="1">
      <c r="A39" s="2667" t="s">
        <v>2354</v>
      </c>
      <c r="B39" s="2684" t="s">
        <v>375</v>
      </c>
      <c r="C39" s="692">
        <f ca="1">C5-C30</f>
        <v>610</v>
      </c>
      <c r="D39" s="2685" t="s">
        <v>376</v>
      </c>
      <c r="E39" s="2686"/>
      <c r="F39" s="2687"/>
      <c r="G39" s="2289"/>
      <c r="H39" s="1290"/>
      <c r="I39" s="2882"/>
      <c r="J39" s="2883"/>
      <c r="K39" s="1295"/>
      <c r="L39" s="1290"/>
      <c r="M39" s="1290"/>
    </row>
    <row r="40" spans="1:18" ht="18" customHeight="1">
      <c r="A40" s="681" t="s">
        <v>2357</v>
      </c>
      <c r="B40" s="682" t="s">
        <v>377</v>
      </c>
      <c r="C40" s="683">
        <f ca="1">ROUND(C39*(1-((1+F42)/(1+F40))^F41)/(F40-F42),0)</f>
        <v>2842</v>
      </c>
      <c r="D40" s="710" t="s">
        <v>371</v>
      </c>
      <c r="E40" s="684" t="s">
        <v>372</v>
      </c>
      <c r="F40" s="694">
        <f ca="1">INDIRECT("'数据-取费表'!I"&amp;$G$1)</f>
        <v>5.5E-2</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5.53</v>
      </c>
      <c r="G41" s="2289"/>
      <c r="H41" s="1192"/>
      <c r="I41" s="2882"/>
      <c r="J41" s="2883"/>
      <c r="K41" s="1294"/>
      <c r="L41" s="1192"/>
      <c r="M41" s="1192"/>
    </row>
    <row r="42" spans="1:18" ht="18" customHeight="1">
      <c r="A42" s="690"/>
      <c r="B42" s="691"/>
      <c r="C42" s="692"/>
      <c r="D42" s="713"/>
      <c r="E42" s="684" t="s">
        <v>380</v>
      </c>
      <c r="F42" s="694">
        <f ca="1">INDIRECT("'数据-取费表'!v"&amp;$G$1)</f>
        <v>0</v>
      </c>
      <c r="G42" s="2289"/>
      <c r="H42" s="1192"/>
      <c r="I42" s="2882"/>
      <c r="J42" s="2883"/>
      <c r="K42" s="1294"/>
      <c r="L42" s="1192"/>
      <c r="M42" s="1192"/>
    </row>
    <row r="43" spans="1:18" ht="18" customHeight="1" thickBot="1">
      <c r="A43" s="720" t="s">
        <v>2364</v>
      </c>
      <c r="B43" s="721" t="s">
        <v>381</v>
      </c>
      <c r="C43" s="722">
        <f ca="1">ROUND(C40*10000/F43,0)</f>
        <v>9331</v>
      </c>
      <c r="D43" s="723" t="s">
        <v>382</v>
      </c>
      <c r="E43" s="724" t="s">
        <v>383</v>
      </c>
      <c r="F43" s="725">
        <f ca="1">INDIRECT("'数据-取费表'!k"&amp;$G$1)</f>
        <v>3045.67</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2487</v>
      </c>
      <c r="P45" s="1296"/>
      <c r="Q45" s="1296"/>
      <c r="R45" s="1296"/>
    </row>
    <row r="46" spans="1:18" s="1455" customFormat="1" ht="21" thickBot="1">
      <c r="A46" s="2397" t="s">
        <v>2326</v>
      </c>
      <c r="B46" s="2398"/>
      <c r="C46" s="2726">
        <f ca="1">C68-C40</f>
        <v>307</v>
      </c>
      <c r="D46" s="2727" t="str">
        <f>C2</f>
        <v>万元</v>
      </c>
      <c r="E46" s="1433"/>
      <c r="F46" s="1433"/>
      <c r="I46" s="2579" t="s">
        <v>2422</v>
      </c>
      <c r="J46" s="2580"/>
      <c r="K46" s="2581"/>
      <c r="L46" s="2583" t="str">
        <f ca="1">IF(M47="住宅",0,IF(L48&gt;J51,L60,J60))</f>
        <v>0</v>
      </c>
      <c r="O46" s="2595" t="s">
        <v>2465</v>
      </c>
      <c r="P46" s="2596" t="s">
        <v>2466</v>
      </c>
      <c r="Q46" s="2597" t="s">
        <v>2464</v>
      </c>
      <c r="R46" s="2597" t="s">
        <v>2467</v>
      </c>
    </row>
    <row r="47" spans="1:18" s="1455" customFormat="1" ht="15.75" thickBot="1">
      <c r="A47" s="2399" t="s">
        <v>2328</v>
      </c>
      <c r="B47" s="2435" t="s">
        <v>2329</v>
      </c>
      <c r="C47" s="2731" t="s">
        <v>2330</v>
      </c>
      <c r="D47" s="2435" t="s">
        <v>2331</v>
      </c>
      <c r="E47" s="2538" t="s">
        <v>2332</v>
      </c>
      <c r="F47" s="2539"/>
      <c r="G47" s="1457"/>
      <c r="I47" s="2554" t="s">
        <v>2415</v>
      </c>
      <c r="J47" s="2555" t="s">
        <v>3072</v>
      </c>
      <c r="K47" s="2564" t="s">
        <v>2438</v>
      </c>
      <c r="L47" s="2565">
        <f ca="1">INDIRECT("'数据-取费表'!d"&amp;$G$1)</f>
        <v>40</v>
      </c>
      <c r="M47" s="2585" t="str">
        <f>IF(ISNUMBER(FIND("住宅",C1)),"住宅","非住宅")</f>
        <v>非住宅</v>
      </c>
      <c r="O47" s="2588" t="s">
        <v>2450</v>
      </c>
      <c r="P47" s="2598" t="s">
        <v>2468</v>
      </c>
      <c r="Q47" s="2589">
        <f ca="1">C40+J29</f>
        <v>11881</v>
      </c>
      <c r="R47" s="2589" t="s">
        <v>2469</v>
      </c>
    </row>
    <row r="48" spans="1:18" s="1455" customFormat="1" ht="47.25" thickBot="1">
      <c r="A48" s="2712" t="s">
        <v>2618</v>
      </c>
      <c r="B48" s="682" t="s">
        <v>2333</v>
      </c>
      <c r="C48" s="2722">
        <f ca="1">C49+C53+C55</f>
        <v>745</v>
      </c>
      <c r="D48" s="2716"/>
      <c r="E48" s="2717"/>
      <c r="F48" s="2419"/>
      <c r="G48" s="1457"/>
      <c r="H48" s="1458"/>
      <c r="I48" s="2545" t="s">
        <v>2416</v>
      </c>
      <c r="J48" s="2556" t="s">
        <v>2417</v>
      </c>
      <c r="K48" s="2566" t="s">
        <v>2439</v>
      </c>
      <c r="L48" s="2169">
        <f ca="1">INDIRECT("'数据-取费表'!f"&amp;$G$1)</f>
        <v>24.01</v>
      </c>
      <c r="O48" s="2588" t="s">
        <v>2451</v>
      </c>
      <c r="P48" s="2598" t="s">
        <v>2470</v>
      </c>
      <c r="Q48" s="2589" t="str">
        <f ca="1">J60</f>
        <v>0</v>
      </c>
      <c r="R48" s="2589" t="s">
        <v>2478</v>
      </c>
    </row>
    <row r="49" spans="1:18" s="1455" customFormat="1" ht="15.75" thickBot="1">
      <c r="A49" s="2432" t="s">
        <v>2619</v>
      </c>
      <c r="B49" s="2715" t="s">
        <v>2621</v>
      </c>
      <c r="C49" s="2724">
        <f ca="1">ROUND(F49*F51*F50*(1-F52)/10000,0)</f>
        <v>744</v>
      </c>
      <c r="D49" s="2534" t="s">
        <v>2334</v>
      </c>
      <c r="E49" s="2537" t="s">
        <v>2327</v>
      </c>
      <c r="F49" s="2540">
        <f>楼层修正!C5</f>
        <v>7.44</v>
      </c>
      <c r="G49" s="1459"/>
      <c r="H49" s="1458"/>
      <c r="I49" s="2545" t="s">
        <v>2436</v>
      </c>
      <c r="J49" s="2557">
        <v>2003</v>
      </c>
      <c r="K49" s="2567" t="s">
        <v>2441</v>
      </c>
      <c r="L49" s="2568"/>
      <c r="O49" s="2590" t="s">
        <v>2452</v>
      </c>
      <c r="P49" s="2598" t="s">
        <v>2471</v>
      </c>
      <c r="Q49" s="2589">
        <f ca="1">C29</f>
        <v>1312</v>
      </c>
      <c r="R49" s="2589" t="s">
        <v>2469</v>
      </c>
    </row>
    <row r="50" spans="1:18" s="1455" customFormat="1" ht="15.75" thickBot="1">
      <c r="A50" s="2433"/>
      <c r="B50" s="2436"/>
      <c r="C50" s="2732"/>
      <c r="D50" s="2406"/>
      <c r="E50" s="2535" t="s">
        <v>2335</v>
      </c>
      <c r="F50" s="2536">
        <f ca="1">F7</f>
        <v>3045.67</v>
      </c>
      <c r="H50" s="1458"/>
      <c r="I50" s="2545" t="s">
        <v>2418</v>
      </c>
      <c r="J50" s="2558">
        <f>SUMPRODUCT((I63:I65=J47)*(J62:L62=J48)*(J63:L65))</f>
        <v>60</v>
      </c>
      <c r="K50" s="2567" t="s">
        <v>2442</v>
      </c>
      <c r="L50" s="2568"/>
      <c r="M50" s="2562"/>
      <c r="O50" s="2590" t="s">
        <v>2453</v>
      </c>
      <c r="P50" s="2598" t="s">
        <v>2479</v>
      </c>
      <c r="Q50" s="2591" t="e">
        <f ca="1">J58</f>
        <v>#VALUE!</v>
      </c>
      <c r="R50" s="2589"/>
    </row>
    <row r="51" spans="1:18" s="1455" customFormat="1" ht="15.75" thickBot="1">
      <c r="A51" s="2434"/>
      <c r="B51" s="2436"/>
      <c r="C51" s="2437"/>
      <c r="D51" s="2406"/>
      <c r="E51" s="2438" t="s">
        <v>2336</v>
      </c>
      <c r="F51" s="685">
        <f ca="1">F8</f>
        <v>365</v>
      </c>
      <c r="I51" s="2559" t="s">
        <v>2423</v>
      </c>
      <c r="J51" s="2560">
        <f>IF(J49="",J50,J49+J50-YEAR('数据-取费表'!B2))</f>
        <v>46</v>
      </c>
      <c r="K51" s="2569" t="s">
        <v>2443</v>
      </c>
      <c r="L51" s="2582">
        <f ca="1">ROUND(-PV(INDIRECT("'数据-取费表'!h"&amp;$G$1),L48,(C39-C13*C76),0),0)</f>
        <v>7600</v>
      </c>
      <c r="M51" s="2563"/>
      <c r="O51" s="2590" t="s">
        <v>2454</v>
      </c>
      <c r="P51" s="2598" t="s">
        <v>2480</v>
      </c>
      <c r="Q51" s="2591">
        <f>J52</f>
        <v>0.09</v>
      </c>
      <c r="R51" s="2589"/>
    </row>
    <row r="52" spans="1:18" s="1455" customFormat="1" ht="15.75" thickBot="1">
      <c r="A52" s="2434"/>
      <c r="B52" s="2436"/>
      <c r="C52" s="2437"/>
      <c r="D52" s="2406"/>
      <c r="E52" s="2438" t="s">
        <v>2337</v>
      </c>
      <c r="F52" s="2533">
        <v>0.1</v>
      </c>
      <c r="I52" s="2561" t="s">
        <v>2446</v>
      </c>
      <c r="J52" s="2575">
        <v>0.09</v>
      </c>
      <c r="K52" s="2561" t="s">
        <v>2431</v>
      </c>
      <c r="L52" s="2575"/>
      <c r="M52" s="2398"/>
      <c r="O52" s="2590" t="s">
        <v>2455</v>
      </c>
      <c r="P52" s="2598" t="s">
        <v>2472</v>
      </c>
      <c r="Q52" s="2589">
        <f ca="1">J53</f>
        <v>24.01</v>
      </c>
      <c r="R52" s="2589" t="s">
        <v>2473</v>
      </c>
    </row>
    <row r="53" spans="1:18" s="1455" customFormat="1" ht="43.5" thickBot="1">
      <c r="A53" s="2827" t="s">
        <v>2620</v>
      </c>
      <c r="B53" s="433" t="s">
        <v>2530</v>
      </c>
      <c r="C53" s="698">
        <f ca="1">ROUND(IF(F53="押一",F49*F51*F50/12*F11,IF(F53="押二",F49*F51*F50/12*2*F11,IF(F53="押三",F49*F51*F50/12*3*F11,C54*F11)))/10000,0)</f>
        <v>1</v>
      </c>
      <c r="D53" s="2635" t="s">
        <v>2538</v>
      </c>
      <c r="E53" s="2098" t="s">
        <v>2532</v>
      </c>
      <c r="F53" s="2829" t="s">
        <v>3073</v>
      </c>
      <c r="I53" s="2571" t="s">
        <v>2448</v>
      </c>
      <c r="J53" s="2572">
        <f ca="1">IF(M47="住宅",J51,MIN(J51,L48))</f>
        <v>24.01</v>
      </c>
      <c r="K53" s="3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1"/>
      <c r="O53" s="2588" t="s">
        <v>2456</v>
      </c>
      <c r="P53" s="2598" t="s">
        <v>2474</v>
      </c>
      <c r="Q53" s="2589">
        <f ca="1">Q47+Q48</f>
        <v>11881</v>
      </c>
      <c r="R53" s="2589" t="s">
        <v>2457</v>
      </c>
    </row>
    <row r="54" spans="1:18" s="1455" customFormat="1" ht="16.5" thickBot="1">
      <c r="A54" s="2828"/>
      <c r="B54" s="2625" t="s">
        <v>2696</v>
      </c>
      <c r="C54" s="2416"/>
      <c r="D54" s="2635"/>
      <c r="E54" s="2779"/>
      <c r="F54" s="2541"/>
      <c r="I54" s="2413"/>
      <c r="J54" s="2570"/>
      <c r="K54" s="2570"/>
      <c r="L54" s="2570"/>
      <c r="M54" s="1459"/>
      <c r="O54" s="2592" t="s">
        <v>2481</v>
      </c>
      <c r="P54" s="1296"/>
      <c r="Q54" s="1296"/>
      <c r="R54" s="1296"/>
    </row>
    <row r="55" spans="1:18" s="1455" customFormat="1" ht="15.75" thickBot="1">
      <c r="A55" s="2671" t="s">
        <v>2543</v>
      </c>
      <c r="B55" s="2672" t="s">
        <v>2531</v>
      </c>
      <c r="C55" s="2673"/>
      <c r="D55" s="2635"/>
      <c r="E55" s="2711"/>
      <c r="F55" s="2541"/>
      <c r="I55" s="3319" t="s">
        <v>2424</v>
      </c>
      <c r="J55" s="3318" t="e">
        <f ca="1">ROUND(IF(J47="钢混",J57/J50,1-(1-2%)*(J50-J57)/J50),3)</f>
        <v>#VALUE!</v>
      </c>
      <c r="K55" s="2552" t="s">
        <v>2425</v>
      </c>
      <c r="L55" s="2574" t="s">
        <v>3105</v>
      </c>
      <c r="O55" s="2595" t="s">
        <v>2465</v>
      </c>
      <c r="P55" s="2596" t="s">
        <v>2466</v>
      </c>
      <c r="Q55" s="2597" t="s">
        <v>2464</v>
      </c>
      <c r="R55" s="2597" t="s">
        <v>2467</v>
      </c>
    </row>
    <row r="56" spans="1:18" s="1455" customFormat="1" ht="44.25" thickTop="1" thickBot="1">
      <c r="A56" s="2410">
        <v>2</v>
      </c>
      <c r="B56" s="2411" t="s">
        <v>2338</v>
      </c>
      <c r="C56" s="608">
        <f ca="1">C13</f>
        <v>1010</v>
      </c>
      <c r="D56" s="2699"/>
      <c r="E56" s="2412"/>
      <c r="F56" s="2541"/>
      <c r="I56" s="2544" t="s">
        <v>2426</v>
      </c>
      <c r="J56" s="2573" t="s">
        <v>3053</v>
      </c>
      <c r="K56" s="2545" t="s">
        <v>2430</v>
      </c>
      <c r="L56" s="2169" t="str">
        <f ca="1">IF(L48&lt;J51,"——",L48-J51)</f>
        <v>——</v>
      </c>
      <c r="O56" s="2588" t="s">
        <v>2450</v>
      </c>
      <c r="P56" s="2598" t="s">
        <v>2468</v>
      </c>
      <c r="Q56" s="2589">
        <f ca="1">C40+J29</f>
        <v>11881</v>
      </c>
      <c r="R56" s="2589" t="s">
        <v>2469</v>
      </c>
    </row>
    <row r="57" spans="1:18" s="1455" customFormat="1" ht="29.25" thickBot="1">
      <c r="A57" s="2542"/>
      <c r="B57" s="2403" t="s">
        <v>2368</v>
      </c>
      <c r="C57" s="614">
        <f ca="1">C29</f>
        <v>1312</v>
      </c>
      <c r="D57" s="2414"/>
      <c r="E57" s="2415"/>
      <c r="F57" s="2543"/>
      <c r="I57" s="2546" t="s">
        <v>2447</v>
      </c>
      <c r="J57" s="2550" t="str">
        <f ca="1">IF(OR(M47="住宅",J51&lt;L48,J56="是"),"——",J51-L48)</f>
        <v>——</v>
      </c>
      <c r="K57" s="2545" t="s">
        <v>2898</v>
      </c>
      <c r="L57" s="2169" t="str">
        <f ca="1">IF(L48&lt;J51,"——",IF(L55="比较法",L49,IF(L55="基准地价",L50,L51)))</f>
        <v>——</v>
      </c>
      <c r="O57" s="2588" t="s">
        <v>2451</v>
      </c>
      <c r="P57" s="2598" t="s">
        <v>2475</v>
      </c>
      <c r="Q57" s="2589">
        <f ca="1">L60</f>
        <v>0</v>
      </c>
      <c r="R57" s="2589" t="s">
        <v>2490</v>
      </c>
    </row>
    <row r="58" spans="1:18" s="1455" customFormat="1" ht="29.25" thickBot="1">
      <c r="A58" s="697" t="s">
        <v>2339</v>
      </c>
      <c r="B58" s="2411" t="s">
        <v>2369</v>
      </c>
      <c r="C58" s="698">
        <f ca="1">ROUND(C59+C64+C65+C66,0)</f>
        <v>118</v>
      </c>
      <c r="D58" s="2417" t="s">
        <v>2370</v>
      </c>
      <c r="E58" s="2418"/>
      <c r="F58" s="2419"/>
      <c r="I58" s="2546" t="s">
        <v>2427</v>
      </c>
      <c r="J58" s="3320" t="e">
        <f ca="1">IF(J55&lt;0.4,0.4,J55)</f>
        <v>#VALUE!</v>
      </c>
      <c r="K58" s="2569" t="s">
        <v>2899</v>
      </c>
      <c r="L58" s="2169">
        <f ca="1">IF(ISERROR(POWER(1+L52,L47-L48)*(POWER(1+L52,L48)-1)/(POWER(1+L52,L47)-1)),0,POWER(1+L52,L47-L48)*(POWER(1+L52,L48)-1)/(POWER(1+L52,L47)-1))</f>
        <v>0</v>
      </c>
      <c r="O58" s="2590" t="s">
        <v>2452</v>
      </c>
      <c r="P58" s="2598" t="s">
        <v>2482</v>
      </c>
      <c r="Q58" s="2589">
        <f>IF(L55="比较法",L49,IF(L55="基准地价",L50,0))</f>
        <v>0</v>
      </c>
      <c r="R58" s="2589" t="s">
        <v>2469</v>
      </c>
    </row>
    <row r="59" spans="1:18" s="1455" customFormat="1" ht="29.25" thickBot="1">
      <c r="A59" s="2439" t="s">
        <v>2374</v>
      </c>
      <c r="B59" s="2403" t="s">
        <v>361</v>
      </c>
      <c r="C59" s="313">
        <f ca="1">ROUND(IF(项目基本情况!B11="自然人",C48*F59,C60+C61+C62),1)</f>
        <v>89.4</v>
      </c>
      <c r="D59" s="2420" t="s">
        <v>2340</v>
      </c>
      <c r="E59" s="2421" t="s">
        <v>2341</v>
      </c>
      <c r="F59" s="708">
        <f ca="1">IF(项目基本情况!B11="企业","",IF(INDIRECT("'数据-取费表'!c"&amp;$G$1)="住宅",5%,IF(F49*F50*F51/12/(1+'数据-取费表'!C42)&gt;20000,12%,7%)))</f>
        <v>0.12</v>
      </c>
      <c r="I59" s="2546" t="s">
        <v>2428</v>
      </c>
      <c r="J59" s="2550" t="str">
        <f ca="1">IF(OR(M47="住宅",J51&lt;L48,J56="是"),"——",ROUND(C29*J58,0))</f>
        <v>——</v>
      </c>
      <c r="K59" s="2569" t="s">
        <v>2900</v>
      </c>
      <c r="L59" s="2169">
        <f ca="1">IF(ISERROR(POWER(1+L52,L47-J51)*(POWER(1+L52,J51)-1)/(POWER(1+L52,L47)-1)),0,POWER(1+L52,L47-J51)*(POWER(1+L52,J51)-1)/(POWER(1+L52,L47)-1))</f>
        <v>0</v>
      </c>
      <c r="O59" s="2590" t="s">
        <v>2453</v>
      </c>
      <c r="P59" s="2598" t="s">
        <v>2483</v>
      </c>
      <c r="Q59" s="2591">
        <f>L52</f>
        <v>0</v>
      </c>
      <c r="R59" s="2589"/>
    </row>
    <row r="60" spans="1:18" s="1455" customFormat="1" ht="20.25" thickBot="1">
      <c r="A60" s="2439" t="s">
        <v>2371</v>
      </c>
      <c r="B60" s="2403" t="s">
        <v>2342</v>
      </c>
      <c r="C60" s="313" t="str">
        <f>IF(项目基本情况!B11="自然人","——",ROUND(C48*F60/(1+'数据-取费表'!C42),2))</f>
        <v>——</v>
      </c>
      <c r="D60" s="2421" t="s">
        <v>2343</v>
      </c>
      <c r="E60" s="2403" t="s">
        <v>2344</v>
      </c>
      <c r="F60" s="717">
        <f t="shared" ref="F60:F66" si="0">F32</f>
        <v>5.3500000000000006E-2</v>
      </c>
      <c r="I60" s="2547" t="s">
        <v>2429</v>
      </c>
      <c r="J60" s="2551" t="str">
        <f ca="1">IF(OR(M47="住宅",J51&lt;L48,J56="是"),"0",ROUND(J59/(1+J52)^J53,0))</f>
        <v>0</v>
      </c>
      <c r="K60" s="2553" t="s">
        <v>2432</v>
      </c>
      <c r="L60" s="2551">
        <f ca="1">IF(OR(M47="住宅",L48&lt;J51),0,ROUND(L57*(L58/L59-1),0))</f>
        <v>0</v>
      </c>
      <c r="O60" s="2590" t="s">
        <v>2454</v>
      </c>
      <c r="P60" s="2598" t="s">
        <v>2484</v>
      </c>
      <c r="Q60" s="2589">
        <f ca="1">L58</f>
        <v>0</v>
      </c>
      <c r="R60" s="2589" t="s">
        <v>2459</v>
      </c>
    </row>
    <row r="61" spans="1:18" s="1455" customFormat="1" ht="20.25" thickBot="1">
      <c r="A61" s="2439" t="s">
        <v>2372</v>
      </c>
      <c r="B61" s="2403" t="s">
        <v>2345</v>
      </c>
      <c r="C61" s="313" t="str">
        <f ca="1">IF(项目基本情况!B11="自然人","——",IF(D61="按租金收入计税",ROUND(C48*F61,2),IF(D61="按房产原值计税",ROUND(C57*F61*0.7,2),INDIRECT("'数据-取费表'!Aj"&amp;$G$1))))</f>
        <v>——</v>
      </c>
      <c r="D61" s="1301" t="s">
        <v>2414</v>
      </c>
      <c r="E61" s="2403" t="s">
        <v>2344</v>
      </c>
      <c r="F61" s="707">
        <f t="shared" si="0"/>
        <v>1.2E-2</v>
      </c>
      <c r="I61" s="2413"/>
      <c r="J61" s="2413"/>
      <c r="K61" s="2413"/>
      <c r="L61" s="2413"/>
      <c r="O61" s="2590" t="s">
        <v>2455</v>
      </c>
      <c r="P61" s="2598" t="s">
        <v>2485</v>
      </c>
      <c r="Q61" s="2589">
        <f ca="1">L59</f>
        <v>0</v>
      </c>
      <c r="R61" s="2589" t="s">
        <v>2460</v>
      </c>
    </row>
    <row r="62" spans="1:18" s="1455" customFormat="1" ht="15.75" thickBot="1">
      <c r="A62" s="2439" t="s">
        <v>2373</v>
      </c>
      <c r="B62" s="2402" t="s">
        <v>2346</v>
      </c>
      <c r="C62" s="314" t="str">
        <f>IF(项目基本情况!B11="自然人","——",ROUND(F62*F63/10000,2))</f>
        <v>——</v>
      </c>
      <c r="D62" s="2422" t="s">
        <v>2347</v>
      </c>
      <c r="E62" s="2403" t="s">
        <v>2348</v>
      </c>
      <c r="F62" s="711">
        <f t="shared" si="0"/>
        <v>12</v>
      </c>
      <c r="I62" s="2548" t="s">
        <v>2419</v>
      </c>
      <c r="J62" s="2549" t="s">
        <v>2420</v>
      </c>
      <c r="K62" s="2549" t="s">
        <v>2421</v>
      </c>
      <c r="L62" s="2549" t="s">
        <v>2417</v>
      </c>
      <c r="M62" s="3321" t="s">
        <v>3036</v>
      </c>
      <c r="O62" s="2588" t="s">
        <v>2456</v>
      </c>
      <c r="P62" s="2598" t="s">
        <v>2474</v>
      </c>
      <c r="Q62" s="2589">
        <f ca="1">Q56+Q57</f>
        <v>11881</v>
      </c>
      <c r="R62" s="2589" t="s">
        <v>2457</v>
      </c>
    </row>
    <row r="63" spans="1:18" s="1455" customFormat="1" ht="16.5" thickBot="1">
      <c r="A63" s="712"/>
      <c r="B63" s="2409"/>
      <c r="C63" s="318"/>
      <c r="D63" s="2423"/>
      <c r="E63" s="2403" t="s">
        <v>2349</v>
      </c>
      <c r="F63" s="685">
        <f t="shared" ca="1" si="0"/>
        <v>0</v>
      </c>
      <c r="I63" s="2548" t="s">
        <v>2433</v>
      </c>
      <c r="J63" s="3324">
        <v>70</v>
      </c>
      <c r="K63" s="3324">
        <v>50</v>
      </c>
      <c r="L63" s="3324">
        <v>80</v>
      </c>
      <c r="M63" s="3322">
        <v>0.02</v>
      </c>
      <c r="O63" s="2592" t="s">
        <v>2488</v>
      </c>
      <c r="P63" s="1296"/>
      <c r="Q63" s="1296"/>
      <c r="R63" s="1296"/>
    </row>
    <row r="64" spans="1:18" s="1455" customFormat="1" ht="15.75" thickBot="1">
      <c r="A64" s="2439" t="s">
        <v>2381</v>
      </c>
      <c r="B64" s="2403" t="s">
        <v>2350</v>
      </c>
      <c r="C64" s="313">
        <f ca="1">ROUND(C57*F64,1)</f>
        <v>19.7</v>
      </c>
      <c r="D64" s="2421" t="s">
        <v>2351</v>
      </c>
      <c r="E64" s="2403" t="s">
        <v>2344</v>
      </c>
      <c r="F64" s="714">
        <f t="shared" ca="1" si="0"/>
        <v>1.4999999999999999E-2</v>
      </c>
      <c r="I64" s="2548" t="s">
        <v>2434</v>
      </c>
      <c r="J64" s="3324">
        <v>50</v>
      </c>
      <c r="K64" s="3324">
        <v>35</v>
      </c>
      <c r="L64" s="3324">
        <v>60</v>
      </c>
      <c r="M64" s="3323">
        <v>0</v>
      </c>
      <c r="O64" s="2595" t="s">
        <v>2465</v>
      </c>
      <c r="P64" s="2596" t="s">
        <v>2466</v>
      </c>
      <c r="Q64" s="2597" t="s">
        <v>2464</v>
      </c>
      <c r="R64" s="2597" t="s">
        <v>2467</v>
      </c>
    </row>
    <row r="65" spans="1:18" s="1455" customFormat="1" ht="15.75" thickBot="1">
      <c r="A65" s="2439" t="s">
        <v>2375</v>
      </c>
      <c r="B65" s="2403" t="s">
        <v>366</v>
      </c>
      <c r="C65" s="313">
        <f ca="1">ROUND(C56*F65,1)</f>
        <v>1.5</v>
      </c>
      <c r="D65" s="2421" t="s">
        <v>2352</v>
      </c>
      <c r="E65" s="2403" t="s">
        <v>2344</v>
      </c>
      <c r="F65" s="716">
        <f t="shared" ca="1" si="0"/>
        <v>1.5E-3</v>
      </c>
      <c r="I65" s="2548" t="s">
        <v>2435</v>
      </c>
      <c r="J65" s="3324">
        <v>40</v>
      </c>
      <c r="K65" s="3324">
        <v>30</v>
      </c>
      <c r="L65" s="3324">
        <v>50</v>
      </c>
      <c r="M65" s="3322">
        <v>0.02</v>
      </c>
      <c r="O65" s="2588" t="s">
        <v>2450</v>
      </c>
      <c r="P65" s="2598" t="s">
        <v>2468</v>
      </c>
      <c r="Q65" s="2589">
        <f ca="1">C40+J29</f>
        <v>11881</v>
      </c>
      <c r="R65" s="2589" t="s">
        <v>2469</v>
      </c>
    </row>
    <row r="66" spans="1:18" s="1455" customFormat="1" ht="20.25" thickBot="1">
      <c r="A66" s="2439" t="s">
        <v>2376</v>
      </c>
      <c r="B66" s="2403" t="s">
        <v>365</v>
      </c>
      <c r="C66" s="313">
        <f ca="1">ROUND(C48*F66,1)</f>
        <v>7.5</v>
      </c>
      <c r="D66" s="2421" t="s">
        <v>2353</v>
      </c>
      <c r="E66" s="2403" t="s">
        <v>2344</v>
      </c>
      <c r="F66" s="694">
        <f t="shared" ca="1" si="0"/>
        <v>0.01</v>
      </c>
      <c r="O66" s="2588" t="s">
        <v>2451</v>
      </c>
      <c r="P66" s="2598" t="s">
        <v>2475</v>
      </c>
      <c r="Q66" s="2589">
        <f ca="1">L60</f>
        <v>0</v>
      </c>
      <c r="R66" s="2589" t="s">
        <v>2458</v>
      </c>
    </row>
    <row r="67" spans="1:18" s="1455" customFormat="1" ht="24.75" thickBot="1">
      <c r="A67" s="2410" t="s">
        <v>2354</v>
      </c>
      <c r="B67" s="2424" t="s">
        <v>2355</v>
      </c>
      <c r="C67" s="698">
        <f ca="1">C48-C58</f>
        <v>627</v>
      </c>
      <c r="D67" s="2420" t="s">
        <v>2356</v>
      </c>
      <c r="E67" s="2425"/>
      <c r="F67" s="2426"/>
      <c r="O67" s="2590" t="s">
        <v>2452</v>
      </c>
      <c r="P67" s="2598" t="s">
        <v>2482</v>
      </c>
      <c r="Q67" s="2593">
        <f ca="1">L51</f>
        <v>7600</v>
      </c>
      <c r="R67" s="2594" t="s">
        <v>2492</v>
      </c>
    </row>
    <row r="68" spans="1:18" s="1455" customFormat="1" ht="20.25" thickBot="1">
      <c r="A68" s="2400" t="s">
        <v>2357</v>
      </c>
      <c r="B68" s="2401" t="s">
        <v>2358</v>
      </c>
      <c r="C68" s="683">
        <f ca="1">ROUND(C67*(1-((1+F70)/(1+F68))^F69)/(F68-F70),0)</f>
        <v>3149</v>
      </c>
      <c r="D68" s="2422" t="s">
        <v>2359</v>
      </c>
      <c r="E68" s="2403" t="s">
        <v>2360</v>
      </c>
      <c r="F68" s="694">
        <f ca="1">F40</f>
        <v>5.5E-2</v>
      </c>
      <c r="O68" s="2590" t="s">
        <v>2453</v>
      </c>
      <c r="P68" s="2599" t="s">
        <v>2486</v>
      </c>
      <c r="Q68" s="2589">
        <f ca="1">ROUND(Q69-Q70*Q71,0)</f>
        <v>524</v>
      </c>
      <c r="R68" s="2589" t="s">
        <v>2491</v>
      </c>
    </row>
    <row r="69" spans="1:18" s="1455" customFormat="1" ht="15.75" thickBot="1">
      <c r="A69" s="2404"/>
      <c r="B69" s="2405"/>
      <c r="C69" s="688"/>
      <c r="D69" s="2427" t="s">
        <v>2361</v>
      </c>
      <c r="E69" s="2403" t="s">
        <v>2362</v>
      </c>
      <c r="F69" s="719">
        <f ca="1">F41</f>
        <v>5.53</v>
      </c>
      <c r="O69" s="2590" t="s">
        <v>2461</v>
      </c>
      <c r="P69" s="2599" t="s">
        <v>2476</v>
      </c>
      <c r="Q69" s="2589">
        <f ca="1">C39</f>
        <v>610</v>
      </c>
      <c r="R69" s="2589" t="s">
        <v>2469</v>
      </c>
    </row>
    <row r="70" spans="1:18" s="1455" customFormat="1" ht="15.75" thickBot="1">
      <c r="A70" s="2407"/>
      <c r="B70" s="2408"/>
      <c r="C70" s="692"/>
      <c r="D70" s="2423"/>
      <c r="E70" s="2403" t="s">
        <v>2363</v>
      </c>
      <c r="F70" s="2533">
        <v>3.5000000000000003E-2</v>
      </c>
      <c r="O70" s="2590" t="s">
        <v>2462</v>
      </c>
      <c r="P70" s="2599" t="s">
        <v>2477</v>
      </c>
      <c r="Q70" s="2589">
        <f ca="1">C13</f>
        <v>1010</v>
      </c>
      <c r="R70" s="2589" t="s">
        <v>2469</v>
      </c>
    </row>
    <row r="71" spans="1:18" s="1455" customFormat="1" ht="15.75" thickBot="1">
      <c r="A71" s="2428" t="s">
        <v>2364</v>
      </c>
      <c r="B71" s="2429" t="s">
        <v>2365</v>
      </c>
      <c r="C71" s="722">
        <f ca="1">ROUND(C68*10000/F71,0)</f>
        <v>10339</v>
      </c>
      <c r="D71" s="2430" t="s">
        <v>2366</v>
      </c>
      <c r="E71" s="2431" t="s">
        <v>2367</v>
      </c>
      <c r="F71" s="725">
        <f ca="1">F43</f>
        <v>3045.67</v>
      </c>
      <c r="I71" s="2398"/>
      <c r="K71" s="2398"/>
      <c r="O71" s="2590" t="s">
        <v>2463</v>
      </c>
      <c r="P71" s="2599" t="s">
        <v>2489</v>
      </c>
      <c r="Q71" s="2591">
        <f ca="1">C76</f>
        <v>8.5000000000000006E-2</v>
      </c>
      <c r="R71" s="2589"/>
    </row>
    <row r="72" spans="1:18" s="1455" customFormat="1" ht="15.75" thickBot="1">
      <c r="B72" s="1460"/>
      <c r="C72" s="1460"/>
      <c r="I72" s="2398"/>
      <c r="O72" s="2590" t="s">
        <v>2454</v>
      </c>
      <c r="P72" s="2598" t="s">
        <v>2483</v>
      </c>
      <c r="Q72" s="2591">
        <f>L52</f>
        <v>0</v>
      </c>
      <c r="R72" s="2589"/>
    </row>
    <row r="73" spans="1:18" ht="20.25" thickBot="1">
      <c r="A73" s="1455"/>
      <c r="B73" s="1460"/>
      <c r="C73" s="1460"/>
      <c r="D73" s="1455"/>
      <c r="E73" s="1455"/>
      <c r="F73" s="1455"/>
      <c r="I73" s="2584"/>
      <c r="O73" s="2590" t="s">
        <v>2455</v>
      </c>
      <c r="P73" s="2598" t="s">
        <v>2484</v>
      </c>
      <c r="Q73" s="2589">
        <f ca="1">L58</f>
        <v>0</v>
      </c>
      <c r="R73" s="2589" t="s">
        <v>2459</v>
      </c>
    </row>
    <row r="74" spans="1:18" ht="20.25" thickBot="1">
      <c r="A74" s="1455"/>
      <c r="B74" s="727" t="s">
        <v>384</v>
      </c>
      <c r="C74" s="728"/>
      <c r="D74" s="1455"/>
      <c r="E74" s="1455"/>
      <c r="F74" s="1455"/>
      <c r="O74" s="2590" t="s">
        <v>2493</v>
      </c>
      <c r="P74" s="2598" t="s">
        <v>2485</v>
      </c>
      <c r="Q74" s="2589">
        <f ca="1">L59</f>
        <v>0</v>
      </c>
      <c r="R74" s="2589" t="s">
        <v>2460</v>
      </c>
    </row>
    <row r="75" spans="1:18" ht="15.75" thickBot="1">
      <c r="A75" s="1455"/>
      <c r="B75" s="729" t="s">
        <v>973</v>
      </c>
      <c r="C75" s="730">
        <f ca="1">ROUND(C13*C76,0)</f>
        <v>86</v>
      </c>
      <c r="D75" s="1455"/>
      <c r="E75" s="1455"/>
      <c r="F75" s="1455"/>
      <c r="K75" s="1456"/>
      <c r="L75" s="1455"/>
      <c r="O75" s="2588" t="s">
        <v>2456</v>
      </c>
      <c r="P75" s="2598" t="s">
        <v>2474</v>
      </c>
      <c r="Q75" s="2589">
        <f ca="1">Q65+Q66</f>
        <v>11881</v>
      </c>
      <c r="R75" s="2589" t="s">
        <v>2457</v>
      </c>
    </row>
    <row r="76" spans="1:18">
      <c r="B76" s="731" t="s">
        <v>974</v>
      </c>
      <c r="C76" s="732">
        <f ca="1">INDIRECT("'数据-取费表'!j"&amp;$G$1)</f>
        <v>8.5000000000000006E-2</v>
      </c>
      <c r="I76" s="1455"/>
      <c r="J76" s="1455"/>
      <c r="K76" s="1456"/>
      <c r="L76" s="1455"/>
    </row>
    <row r="77" spans="1:18">
      <c r="B77" s="733" t="s">
        <v>977</v>
      </c>
      <c r="C77" s="734"/>
      <c r="I77" s="1455"/>
      <c r="J77" s="1455"/>
      <c r="K77" s="1456"/>
      <c r="L77" s="1455"/>
    </row>
    <row r="78" spans="1:18">
      <c r="B78" s="646" t="s">
        <v>2697</v>
      </c>
      <c r="C78" s="735"/>
    </row>
    <row r="79" spans="1:18">
      <c r="B79" s="2874" t="s">
        <v>2701</v>
      </c>
      <c r="C79" s="650">
        <f ca="1">1-C80</f>
        <v>0.85899999999999999</v>
      </c>
    </row>
    <row r="80" spans="1:18">
      <c r="B80" s="2874" t="s">
        <v>2700</v>
      </c>
      <c r="C80" s="650">
        <f ca="1">ROUND(C75/C39,3)</f>
        <v>0.14099999999999999</v>
      </c>
    </row>
    <row r="81" spans="2:3">
      <c r="B81" s="646" t="s">
        <v>385</v>
      </c>
      <c r="C81" s="647"/>
    </row>
    <row r="82" spans="2:3">
      <c r="B82" s="2873" t="s">
        <v>2699</v>
      </c>
      <c r="C82" s="651">
        <f ca="1">1-C83</f>
        <v>0.64500000000000002</v>
      </c>
    </row>
    <row r="83" spans="2:3">
      <c r="B83" s="2873" t="s">
        <v>2698</v>
      </c>
      <c r="C83" s="650">
        <f ca="1">ROUND(C13/C40,3)</f>
        <v>0.35499999999999998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H39" sqref="H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3" t="s">
        <v>3132</v>
      </c>
      <c r="D1" s="1274"/>
      <c r="E1" s="2586" t="s">
        <v>536</v>
      </c>
      <c r="F1" s="2587">
        <f ca="1">J53</f>
        <v>24.01</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C40+J29+L46</f>
        <v>1591</v>
      </c>
      <c r="C2" s="1300" t="s">
        <v>1102</v>
      </c>
      <c r="D2" s="1276"/>
      <c r="E2" s="2576"/>
      <c r="F2" s="1277"/>
      <c r="G2" s="2288"/>
      <c r="H2" s="1275"/>
      <c r="I2" s="1275"/>
      <c r="J2" s="1275"/>
      <c r="K2" s="1299"/>
      <c r="L2" s="1275"/>
      <c r="M2" s="1275"/>
    </row>
    <row r="3" spans="1:37" ht="18" customHeight="1" thickBot="1">
      <c r="A3" s="675" t="s">
        <v>344</v>
      </c>
      <c r="B3" s="1408">
        <f ca="1">IF(ISERROR(B2*10000/F43),0,ROUND(B2*10000/F43,0))</f>
        <v>40178</v>
      </c>
      <c r="C3" s="1300" t="s">
        <v>1103</v>
      </c>
      <c r="D3" s="1276"/>
      <c r="E3" s="2576"/>
      <c r="F3" s="1277"/>
      <c r="G3" s="2288"/>
      <c r="H3" s="676" t="s">
        <v>909</v>
      </c>
      <c r="I3" s="1275"/>
      <c r="J3" s="1275"/>
      <c r="K3" s="1299"/>
      <c r="L3" s="1275"/>
      <c r="M3" s="1275"/>
    </row>
    <row r="4" spans="1:37" ht="18" customHeight="1">
      <c r="A4" s="677" t="s">
        <v>910</v>
      </c>
      <c r="B4" s="678" t="s">
        <v>911</v>
      </c>
      <c r="C4" s="678" t="s">
        <v>912</v>
      </c>
      <c r="D4" s="678" t="s">
        <v>913</v>
      </c>
      <c r="E4" s="679" t="s">
        <v>914</v>
      </c>
      <c r="F4" s="680"/>
      <c r="G4" s="2289"/>
      <c r="H4" s="677" t="s">
        <v>910</v>
      </c>
      <c r="I4" s="678" t="s">
        <v>911</v>
      </c>
      <c r="J4" s="678" t="s">
        <v>912</v>
      </c>
      <c r="K4" s="678" t="s">
        <v>913</v>
      </c>
      <c r="L4" s="679" t="s">
        <v>914</v>
      </c>
      <c r="M4" s="680"/>
    </row>
    <row r="5" spans="1:37" ht="18" customHeight="1">
      <c r="A5" s="681">
        <v>1</v>
      </c>
      <c r="B5" s="682" t="s">
        <v>2333</v>
      </c>
      <c r="C5" s="2627">
        <f ca="1">C6+C10+C12</f>
        <v>97</v>
      </c>
      <c r="D5" s="2637" t="s">
        <v>2536</v>
      </c>
      <c r="E5" s="2628"/>
      <c r="F5" s="2629"/>
      <c r="G5" s="2289"/>
      <c r="H5" s="681">
        <v>1</v>
      </c>
      <c r="I5" s="682" t="s">
        <v>2333</v>
      </c>
      <c r="J5" s="2627">
        <f ca="1">J6+J10+J12</f>
        <v>0</v>
      </c>
      <c r="K5" s="2630" t="s">
        <v>2536</v>
      </c>
      <c r="L5" s="2628"/>
      <c r="M5" s="2629"/>
    </row>
    <row r="6" spans="1:37" ht="18" customHeight="1">
      <c r="A6" s="2623" t="s">
        <v>2374</v>
      </c>
      <c r="B6" s="3682" t="s">
        <v>2535</v>
      </c>
      <c r="C6" s="2632">
        <f ca="1">ROUND(F6*F8*F7*(1-F9)/10000,0)</f>
        <v>97</v>
      </c>
      <c r="D6" s="2626" t="s">
        <v>2537</v>
      </c>
      <c r="E6" s="684" t="s">
        <v>915</v>
      </c>
      <c r="F6" s="685">
        <f ca="1">INDIRECT("'数据-取费表'!u"&amp;$G$1)</f>
        <v>7.44</v>
      </c>
      <c r="G6" s="2289"/>
      <c r="H6" s="2623" t="s">
        <v>2374</v>
      </c>
      <c r="I6" s="3682" t="s">
        <v>2535</v>
      </c>
      <c r="J6" s="683">
        <f ca="1">ROUND(M6*M8*M7*(1-M9)/10000,0)</f>
        <v>0</v>
      </c>
      <c r="K6" s="2626" t="s">
        <v>2537</v>
      </c>
      <c r="L6" s="684" t="s">
        <v>915</v>
      </c>
      <c r="M6" s="685">
        <f ca="1">INDIRECT("'数据-取费表'!z"&amp;$G$1)</f>
        <v>0</v>
      </c>
    </row>
    <row r="7" spans="1:37" ht="18" customHeight="1">
      <c r="A7" s="2631"/>
      <c r="B7" s="3683"/>
      <c r="C7" s="2633"/>
      <c r="D7" s="2062"/>
      <c r="E7" s="2634" t="s">
        <v>916</v>
      </c>
      <c r="F7" s="685">
        <f ca="1">IF(INDIRECT("'数据-取费表'!ah"&amp;$G$1)="",INDIRECT("'数据-取费表'!k"&amp;$G$1),INDIRECT("'数据-取费表'!ah"&amp;$G$1))</f>
        <v>395.98999999999978</v>
      </c>
      <c r="G7" s="2289"/>
      <c r="H7" s="686"/>
      <c r="I7" s="3683"/>
      <c r="J7" s="688"/>
      <c r="K7" s="689"/>
      <c r="L7" s="684" t="s">
        <v>916</v>
      </c>
      <c r="M7" s="685">
        <f ca="1">F7</f>
        <v>395.98999999999978</v>
      </c>
    </row>
    <row r="8" spans="1:37" ht="18" customHeight="1">
      <c r="A8" s="686"/>
      <c r="B8" s="3683"/>
      <c r="C8" s="688"/>
      <c r="D8" s="689"/>
      <c r="E8" s="684" t="s">
        <v>917</v>
      </c>
      <c r="F8" s="685">
        <f ca="1">INDIRECT("'数据-取费表'!ai"&amp;$G$1)</f>
        <v>365</v>
      </c>
      <c r="G8" s="2289"/>
      <c r="H8" s="686"/>
      <c r="I8" s="3683"/>
      <c r="J8" s="688"/>
      <c r="K8" s="689"/>
      <c r="L8" s="684" t="s">
        <v>917</v>
      </c>
      <c r="M8" s="685">
        <f ca="1">INDIRECT("'数据-取费表'!ai"&amp;$G$1)</f>
        <v>365</v>
      </c>
    </row>
    <row r="9" spans="1:37" ht="18" customHeight="1">
      <c r="A9" s="686"/>
      <c r="B9" s="3684"/>
      <c r="C9" s="688"/>
      <c r="D9" s="689"/>
      <c r="E9" s="684" t="s">
        <v>918</v>
      </c>
      <c r="F9" s="694">
        <f ca="1">INDIRECT("'数据-取费表'!w"&amp;$G$1)</f>
        <v>0.1</v>
      </c>
      <c r="G9" s="2289"/>
      <c r="H9" s="686"/>
      <c r="I9" s="3684"/>
      <c r="J9" s="688"/>
      <c r="K9" s="689"/>
      <c r="L9" s="695" t="s">
        <v>918</v>
      </c>
      <c r="M9" s="696">
        <f ca="1">INDIRECT("'数据-取费表'!ab"&amp;$G$1)</f>
        <v>0</v>
      </c>
    </row>
    <row r="10" spans="1:37" ht="18" customHeight="1">
      <c r="A10" s="2623" t="s">
        <v>2381</v>
      </c>
      <c r="B10" s="2624" t="s">
        <v>2530</v>
      </c>
      <c r="C10" s="698">
        <f ca="1">ROUND(IF(F10="押一",F6*F8*F7/12*F11,IF(F10="押二",F6*F8*F7/12*2*F11,IF(F10="押三",F6*F8*F7/12*3*F11,C11*F11)))/10000,0)</f>
        <v>0</v>
      </c>
      <c r="D10" s="2635" t="s">
        <v>2538</v>
      </c>
      <c r="E10" s="2098" t="s">
        <v>2532</v>
      </c>
      <c r="F10" s="2829" t="s">
        <v>3073</v>
      </c>
      <c r="G10" s="2289"/>
      <c r="H10" s="2623" t="s">
        <v>2381</v>
      </c>
      <c r="I10" s="2624" t="s">
        <v>2530</v>
      </c>
      <c r="J10" s="683">
        <f ca="1">ROUND(IF(M10="押一",M6*M8*M7/12*M11,IF(M10="押二",M6*M8*M7/12*2*M11,IF(M10="押三",M6*M8*M7/12*3*M11,J11*M11)))/10000,0)</f>
        <v>0</v>
      </c>
      <c r="K10" s="2635" t="s">
        <v>2538</v>
      </c>
      <c r="L10" s="2098" t="s">
        <v>2532</v>
      </c>
      <c r="M10" s="2730" t="s">
        <v>3073</v>
      </c>
    </row>
    <row r="11" spans="1:37" ht="18" customHeight="1">
      <c r="A11" s="690"/>
      <c r="B11" s="2625" t="s">
        <v>2696</v>
      </c>
      <c r="C11" s="2416"/>
      <c r="D11" s="2868"/>
      <c r="E11" s="2098" t="s">
        <v>2533</v>
      </c>
      <c r="F11" s="696">
        <f ca="1">'数据-取费表'!B39</f>
        <v>1.4999999999999999E-2</v>
      </c>
      <c r="G11" s="2289"/>
      <c r="H11" s="2636"/>
      <c r="I11" s="2625" t="s">
        <v>2696</v>
      </c>
      <c r="J11" s="2416"/>
      <c r="K11" s="1281"/>
      <c r="L11" s="2098" t="s">
        <v>2533</v>
      </c>
      <c r="M11" s="2097">
        <f ca="1">'数据-取费表'!B39</f>
        <v>1.4999999999999999E-2</v>
      </c>
    </row>
    <row r="12" spans="1:37" ht="18" customHeight="1" thickBot="1">
      <c r="A12" s="2671" t="s">
        <v>2543</v>
      </c>
      <c r="B12" s="2672" t="s">
        <v>2531</v>
      </c>
      <c r="C12" s="2673"/>
      <c r="D12" s="2674"/>
      <c r="E12" s="2675"/>
      <c r="F12" s="2676"/>
      <c r="G12" s="2289"/>
      <c r="H12" s="2671" t="s">
        <v>2543</v>
      </c>
      <c r="I12" s="2672" t="s">
        <v>2531</v>
      </c>
      <c r="J12" s="2673"/>
      <c r="K12" s="2690"/>
      <c r="L12" s="2675"/>
      <c r="M12" s="2691"/>
    </row>
    <row r="13" spans="1:37" ht="18" customHeight="1" thickTop="1">
      <c r="A13" s="2667">
        <v>2</v>
      </c>
      <c r="B13" s="2668" t="s">
        <v>919</v>
      </c>
      <c r="C13" s="692">
        <f ca="1">ROUND(C29*F13,0)</f>
        <v>131</v>
      </c>
      <c r="D13" s="2669" t="s">
        <v>920</v>
      </c>
      <c r="E13" s="2669" t="s">
        <v>921</v>
      </c>
      <c r="F13" s="2670">
        <f ca="1">INDIRECT("'数据-取费表'!y"&amp;$G$1)</f>
        <v>0.77</v>
      </c>
      <c r="G13" s="2289"/>
      <c r="H13" s="2667">
        <v>2</v>
      </c>
      <c r="I13" s="2668" t="s">
        <v>919</v>
      </c>
      <c r="J13" s="2622">
        <f ca="1">ROUND(J14*J15,0)</f>
        <v>131</v>
      </c>
      <c r="K13" s="2677" t="s">
        <v>920</v>
      </c>
      <c r="L13" s="2688"/>
      <c r="M13" s="2689"/>
    </row>
    <row r="14" spans="1:37" ht="18" customHeight="1">
      <c r="A14" s="2439" t="s">
        <v>2371</v>
      </c>
      <c r="B14" s="684" t="s">
        <v>357</v>
      </c>
      <c r="C14" s="702">
        <f ca="1">INDIRECT("'数据-取费表'!m"&amp;$G$1)+INDIRECT("'数据-取费表'!t"&amp;$G$1)</f>
        <v>111</v>
      </c>
      <c r="D14" s="3360" t="s">
        <v>922</v>
      </c>
      <c r="E14" s="3358"/>
      <c r="F14" s="703"/>
      <c r="G14" s="2289"/>
      <c r="H14" s="2439" t="s">
        <v>2374</v>
      </c>
      <c r="I14" s="684" t="s">
        <v>923</v>
      </c>
      <c r="J14" s="313">
        <f ca="1">C29</f>
        <v>170</v>
      </c>
      <c r="K14" s="303"/>
      <c r="L14" s="700"/>
      <c r="M14" s="701"/>
    </row>
    <row r="15" spans="1:37" s="706" customFormat="1" ht="18" customHeight="1" thickBot="1">
      <c r="A15" s="2439" t="s">
        <v>2607</v>
      </c>
      <c r="B15" s="684" t="s">
        <v>358</v>
      </c>
      <c r="C15" s="313">
        <f ca="1">ROUND(C14*F15,0)</f>
        <v>3</v>
      </c>
      <c r="D15" s="704" t="s">
        <v>924</v>
      </c>
      <c r="E15" s="704" t="s">
        <v>363</v>
      </c>
      <c r="F15" s="705">
        <f>'数据-取费表'!B33</f>
        <v>0.03</v>
      </c>
      <c r="G15" s="2290"/>
      <c r="H15" s="2679" t="s">
        <v>2381</v>
      </c>
      <c r="I15" s="2680" t="s">
        <v>921</v>
      </c>
      <c r="J15" s="2691">
        <f ca="1">INDIRECT("'数据-取费表'!ad"&amp;$G$1)</f>
        <v>0.77</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2608</v>
      </c>
      <c r="B16" s="684" t="s">
        <v>359</v>
      </c>
      <c r="C16" s="313">
        <f ca="1">ROUND(INDIRECT("'数据-取费表'!m"&amp;$G$1)*F16,0)</f>
        <v>0</v>
      </c>
      <c r="D16" s="684" t="s">
        <v>924</v>
      </c>
      <c r="E16" s="684" t="s">
        <v>363</v>
      </c>
      <c r="F16" s="707">
        <f ca="1">IF(INDIRECT("'数据-取费表'!c"&amp;$G$1)="住宅",'数据-取费表'!B34,0)</f>
        <v>0</v>
      </c>
      <c r="G16" s="2289"/>
      <c r="H16" s="2667" t="s">
        <v>2339</v>
      </c>
      <c r="I16" s="2668" t="s">
        <v>926</v>
      </c>
      <c r="J16" s="692">
        <f ca="1">ROUND(J17+J22+J23+J24,0)</f>
        <v>3</v>
      </c>
      <c r="K16" s="2677" t="s">
        <v>927</v>
      </c>
      <c r="L16" s="2678"/>
      <c r="M16" s="2629"/>
    </row>
    <row r="17" spans="1:37" s="706" customFormat="1" ht="18" customHeight="1">
      <c r="A17" s="2439" t="s">
        <v>2609</v>
      </c>
      <c r="B17" s="684" t="s">
        <v>360</v>
      </c>
      <c r="C17" s="313">
        <f ca="1">ROUND(F17*(F43+INDIRECT("'数据-取费表'!S"&amp;$G$1))/10000,0)</f>
        <v>8</v>
      </c>
      <c r="D17" s="684" t="s">
        <v>928</v>
      </c>
      <c r="E17" s="684" t="s">
        <v>929</v>
      </c>
      <c r="F17" s="315">
        <f>'数据-取费表'!B35</f>
        <v>200</v>
      </c>
      <c r="G17" s="2290"/>
      <c r="H17" s="2439" t="s">
        <v>2374</v>
      </c>
      <c r="I17" s="684" t="s">
        <v>361</v>
      </c>
      <c r="J17" s="313">
        <f ca="1">ROUND(IF(项目基本情况!B11="自然人",J5*M17,J18+J19+J20),1)</f>
        <v>0</v>
      </c>
      <c r="K17" s="3360" t="s">
        <v>930</v>
      </c>
      <c r="L17" s="3359" t="s">
        <v>931</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2610</v>
      </c>
      <c r="B18" s="684" t="s">
        <v>362</v>
      </c>
      <c r="C18" s="313">
        <f ca="1">ROUND(C14*F18,0)</f>
        <v>2</v>
      </c>
      <c r="D18" s="684" t="s">
        <v>924</v>
      </c>
      <c r="E18" s="684" t="s">
        <v>363</v>
      </c>
      <c r="F18" s="707">
        <f>'数据-取费表'!B36</f>
        <v>1.4999999999999999E-2</v>
      </c>
      <c r="G18" s="2290"/>
      <c r="H18" s="2439" t="s">
        <v>2371</v>
      </c>
      <c r="I18" s="684" t="s">
        <v>932</v>
      </c>
      <c r="J18" s="313">
        <f ca="1">ROUND(J5*M18/(1+'数据-取费表'!C42),2)</f>
        <v>0</v>
      </c>
      <c r="K18" s="3359" t="s">
        <v>933</v>
      </c>
      <c r="L18" s="684" t="s">
        <v>363</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2374</v>
      </c>
      <c r="B19" s="684" t="s">
        <v>364</v>
      </c>
      <c r="C19" s="313">
        <f ca="1">SUM(C14:C18)</f>
        <v>124</v>
      </c>
      <c r="D19" s="471" t="s">
        <v>934</v>
      </c>
      <c r="E19" s="3363"/>
      <c r="F19" s="315"/>
      <c r="G19" s="2289"/>
      <c r="H19" s="2439" t="s">
        <v>2607</v>
      </c>
      <c r="I19" s="684" t="s">
        <v>935</v>
      </c>
      <c r="J19" s="313">
        <f ca="1">IF(K19="按租金收入计税",ROUND(J5*M19,2),ROUND(C29*M19*0.7,2))</f>
        <v>1.43</v>
      </c>
      <c r="K19" s="1301" t="s">
        <v>2414</v>
      </c>
      <c r="L19" s="684" t="s">
        <v>363</v>
      </c>
      <c r="M19" s="707">
        <f>IF(K19="按租金收入计税",'数据-取费表'!B51,'数据-取费表'!B50)</f>
        <v>1.2E-2</v>
      </c>
    </row>
    <row r="20" spans="1:37" s="706" customFormat="1" ht="18" customHeight="1">
      <c r="A20" s="2439" t="s">
        <v>2611</v>
      </c>
      <c r="B20" s="684" t="s">
        <v>365</v>
      </c>
      <c r="C20" s="313">
        <f ca="1">ROUND(C19*F20,0)</f>
        <v>2</v>
      </c>
      <c r="D20" s="709" t="s">
        <v>936</v>
      </c>
      <c r="E20" s="684" t="s">
        <v>363</v>
      </c>
      <c r="F20" s="707">
        <f>'数据-取费表'!B37</f>
        <v>0.02</v>
      </c>
      <c r="G20" s="2290"/>
      <c r="H20" s="2439" t="s">
        <v>2608</v>
      </c>
      <c r="I20" s="496" t="s">
        <v>937</v>
      </c>
      <c r="J20" s="314">
        <f ca="1">ROUND(M20*M21/10000,2)</f>
        <v>0</v>
      </c>
      <c r="K20" s="710" t="s">
        <v>938</v>
      </c>
      <c r="L20" s="684" t="s">
        <v>939</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2612</v>
      </c>
      <c r="B21" s="684" t="s">
        <v>940</v>
      </c>
      <c r="C21" s="313" t="s">
        <v>69</v>
      </c>
      <c r="D21" s="709" t="s">
        <v>941</v>
      </c>
      <c r="E21" s="684" t="s">
        <v>942</v>
      </c>
      <c r="F21" s="707">
        <f>'数据-取费表'!B38</f>
        <v>0.02</v>
      </c>
      <c r="G21" s="2290"/>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2613</v>
      </c>
      <c r="B22" s="684" t="s">
        <v>944</v>
      </c>
      <c r="C22" s="313"/>
      <c r="D22" s="2702" t="str">
        <f>IF(F23&lt;=1,"单利计息。","复利计息。")&amp;"建造成本、管理费用、销售费用产生的利息。"</f>
        <v>复利计息。建造成本、管理费用、销售费用产生的利息。</v>
      </c>
      <c r="E22" s="3363"/>
      <c r="F22" s="315"/>
      <c r="G22" s="2289"/>
      <c r="H22" s="2439" t="s">
        <v>2381</v>
      </c>
      <c r="I22" s="684" t="s">
        <v>945</v>
      </c>
      <c r="J22" s="313">
        <f ca="1">ROUND(J14*M22,1)</f>
        <v>2.6</v>
      </c>
      <c r="K22" s="3359" t="s">
        <v>946</v>
      </c>
      <c r="L22" s="684" t="s">
        <v>363</v>
      </c>
      <c r="M22" s="714">
        <f ca="1">INDIRECT("'数据-取费表'!Ak"&amp;$G$1)</f>
        <v>1.4999999999999999E-2</v>
      </c>
    </row>
    <row r="23" spans="1:37" s="706" customFormat="1" ht="18" customHeight="1">
      <c r="A23" s="2439" t="s">
        <v>2371</v>
      </c>
      <c r="B23" s="684" t="s">
        <v>2527</v>
      </c>
      <c r="C23" s="313">
        <f ca="1">IF('数据-取费表'!B22&lt;=1,ROUND(C19*F24*F23/2,0)+ROUND(C20*F24*F23/2,0),ROUND(C19*(POWER((1+F24),F23/2)-1),0)+ROUND(C20*(POWER((1+F24),F23/2)-1),0))</f>
        <v>6</v>
      </c>
      <c r="D23" s="2706" t="str">
        <f>IF(F23&lt;=1,"(建造成本+管理费用)×利率×(建设周期÷2)","(建造成本+管理费用)×((1+利率)^(建设周期÷2)-1)")</f>
        <v>(建造成本+管理费用)×((1+利率)^(建设周期÷2)-1)</v>
      </c>
      <c r="E23" s="684" t="s">
        <v>947</v>
      </c>
      <c r="F23" s="711">
        <f>'数据-取费表'!B20</f>
        <v>2</v>
      </c>
      <c r="G23" s="2290"/>
      <c r="H23" s="2439" t="s">
        <v>2612</v>
      </c>
      <c r="I23" s="684" t="s">
        <v>366</v>
      </c>
      <c r="J23" s="313">
        <f ca="1">ROUND(J13*M23,1)</f>
        <v>0.2</v>
      </c>
      <c r="K23" s="3359"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2377</v>
      </c>
      <c r="B24" s="684" t="s">
        <v>949</v>
      </c>
      <c r="C24" s="313">
        <f ca="1">ROUND(IF('数据-取费表'!B22&lt;=1,F21*F24*F23/2,F21*(POWER((1+F24),F23/2)-1)),4)</f>
        <v>1E-3</v>
      </c>
      <c r="D24" s="2706" t="str">
        <f>IF(F23&lt;=1,"销售费用×利率×(建设周期÷2)","销售费用×((1+利率)^(建设周期÷2)-1)")</f>
        <v>销售费用×((1+利率)^(建设周期÷2)-1)</v>
      </c>
      <c r="E24" s="684" t="s">
        <v>950</v>
      </c>
      <c r="F24" s="717">
        <f ca="1">'数据-取费表'!B40</f>
        <v>4.7500000000000001E-2</v>
      </c>
      <c r="G24" s="2290"/>
      <c r="H24" s="2679" t="s">
        <v>2613</v>
      </c>
      <c r="I24" s="2680" t="s">
        <v>365</v>
      </c>
      <c r="J24" s="2681">
        <f ca="1">ROUND(J5*M24,1)</f>
        <v>0</v>
      </c>
      <c r="K24" s="2682" t="s">
        <v>369</v>
      </c>
      <c r="L24" s="2680" t="s">
        <v>363</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2378</v>
      </c>
      <c r="B25" s="684" t="s">
        <v>370</v>
      </c>
      <c r="C25" s="313"/>
      <c r="D25" s="471" t="s">
        <v>952</v>
      </c>
      <c r="E25" s="3363"/>
      <c r="F25" s="315"/>
      <c r="G25" s="2289"/>
      <c r="H25" s="2667" t="s">
        <v>2354</v>
      </c>
      <c r="I25" s="2684" t="s">
        <v>375</v>
      </c>
      <c r="J25" s="692">
        <f ca="1">J5-J16</f>
        <v>-3</v>
      </c>
      <c r="K25" s="2685" t="s">
        <v>376</v>
      </c>
      <c r="L25" s="2686"/>
      <c r="M25" s="2687"/>
    </row>
    <row r="26" spans="1:37" ht="18" customHeight="1">
      <c r="A26" s="2439" t="s">
        <v>2371</v>
      </c>
      <c r="B26" s="684" t="s">
        <v>2528</v>
      </c>
      <c r="C26" s="313">
        <f ca="1">ROUND((C19+C20)*F26,0)</f>
        <v>25</v>
      </c>
      <c r="D26" s="709" t="s">
        <v>955</v>
      </c>
      <c r="E26" s="695" t="s">
        <v>956</v>
      </c>
      <c r="F26" s="694">
        <f ca="1">INDIRECT("'数据-取费表'!q"&amp;$G$1)</f>
        <v>0.2</v>
      </c>
      <c r="G26" s="2289"/>
      <c r="H26" s="681" t="s">
        <v>2357</v>
      </c>
      <c r="I26" s="682" t="s">
        <v>957</v>
      </c>
      <c r="J26" s="683">
        <f ca="1">IF(J5&lt;&gt;0,ROUND(J25*(1-((1+M28)/(1+M26))^M27)/(M26-M28),0),0)</f>
        <v>0</v>
      </c>
      <c r="K26" s="710" t="s">
        <v>371</v>
      </c>
      <c r="L26" s="684" t="s">
        <v>372</v>
      </c>
      <c r="M26" s="694">
        <f ca="1">INDIRECT("'数据-取费表'!I"&amp;$G$1)</f>
        <v>5.5E-2</v>
      </c>
    </row>
    <row r="27" spans="1:37" ht="18" customHeight="1">
      <c r="A27" s="2439" t="s">
        <v>2377</v>
      </c>
      <c r="B27" s="684" t="s">
        <v>373</v>
      </c>
      <c r="C27" s="313">
        <f ca="1">ROUND(F21*F26,4)</f>
        <v>4.0000000000000001E-3</v>
      </c>
      <c r="D27" s="709" t="s">
        <v>959</v>
      </c>
      <c r="E27" s="704"/>
      <c r="F27" s="705"/>
      <c r="G27" s="2289"/>
      <c r="H27" s="686"/>
      <c r="I27" s="687"/>
      <c r="J27" s="688"/>
      <c r="K27" s="718" t="s">
        <v>960</v>
      </c>
      <c r="L27" s="684" t="s">
        <v>379</v>
      </c>
      <c r="M27" s="719">
        <f ca="1">INDIRECT("'数据-取费表'!ag"&amp;$G$1)</f>
        <v>0</v>
      </c>
    </row>
    <row r="28" spans="1:37" s="706" customFormat="1" ht="18" customHeight="1">
      <c r="A28" s="2439" t="s">
        <v>2379</v>
      </c>
      <c r="B28" s="684" t="s">
        <v>374</v>
      </c>
      <c r="C28" s="313">
        <f>ROUND(F28/(1+'数据-取费表'!C42),4)</f>
        <v>5.0999999999999997E-2</v>
      </c>
      <c r="D28" s="709" t="s">
        <v>966</v>
      </c>
      <c r="E28" s="684" t="s">
        <v>363</v>
      </c>
      <c r="F28" s="707">
        <f>'数据-取费表'!B41</f>
        <v>5.3500000000000006E-2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2380</v>
      </c>
      <c r="B29" s="2680" t="s">
        <v>968</v>
      </c>
      <c r="C29" s="2681">
        <f ca="1">ROUND((C19+C20+C23+C26)/(1-F21-C24-C27-C28),0)</f>
        <v>170</v>
      </c>
      <c r="D29" s="2682"/>
      <c r="E29" s="2680"/>
      <c r="F29" s="2683"/>
      <c r="G29" s="2290"/>
      <c r="H29" s="720" t="s">
        <v>2364</v>
      </c>
      <c r="I29" s="721" t="s">
        <v>961</v>
      </c>
      <c r="J29" s="722">
        <f ca="1">ROUND(J26/(1+F40)^F41,0)</f>
        <v>0</v>
      </c>
      <c r="K29" s="723" t="s">
        <v>962</v>
      </c>
      <c r="L29" s="724"/>
      <c r="M29" s="725">
        <f ca="1">INDIRECT("'数据-取费表'!k"&amp;$G$1)</f>
        <v>395.99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2339</v>
      </c>
      <c r="B30" s="2668" t="s">
        <v>926</v>
      </c>
      <c r="C30" s="692">
        <f ca="1">ROUND(C31+C36+C37+C38,0)</f>
        <v>15</v>
      </c>
      <c r="D30" s="2677" t="s">
        <v>927</v>
      </c>
      <c r="E30" s="2678"/>
      <c r="F30" s="2629"/>
      <c r="G30" s="2289"/>
      <c r="H30" s="1278"/>
      <c r="I30" s="1279"/>
      <c r="J30" s="1280"/>
      <c r="K30" s="1281"/>
      <c r="L30" s="1282"/>
      <c r="M30" s="1283"/>
    </row>
    <row r="31" spans="1:37" ht="18" customHeight="1">
      <c r="A31" s="2439" t="s">
        <v>2374</v>
      </c>
      <c r="B31" s="684" t="s">
        <v>361</v>
      </c>
      <c r="C31" s="313">
        <f ca="1">ROUND(IF(项目基本情况!B11="自然人",C5*F31,C32+C33+C34),1)</f>
        <v>11.6</v>
      </c>
      <c r="D31" s="3360" t="s">
        <v>930</v>
      </c>
      <c r="E31" s="3359" t="s">
        <v>969</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2371</v>
      </c>
      <c r="B32" s="684" t="s">
        <v>932</v>
      </c>
      <c r="C32" s="313" t="str">
        <f>IF(项目基本情况!B11="自然人","——",ROUND(C5*F32/(1+'数据-取费表'!C42),2))</f>
        <v>——</v>
      </c>
      <c r="D32" s="3359" t="s">
        <v>933</v>
      </c>
      <c r="E32" s="684" t="s">
        <v>363</v>
      </c>
      <c r="F32" s="717">
        <f>'数据-取费表'!B41</f>
        <v>5.3500000000000006E-2</v>
      </c>
      <c r="G32" s="2289"/>
      <c r="H32" s="1284"/>
      <c r="I32" s="1285"/>
      <c r="J32" s="1286"/>
      <c r="K32" s="1287"/>
      <c r="L32" s="1288"/>
      <c r="M32" s="1289"/>
    </row>
    <row r="33" spans="1:18" ht="18" customHeight="1">
      <c r="A33" s="2439" t="s">
        <v>2607</v>
      </c>
      <c r="B33" s="684" t="s">
        <v>935</v>
      </c>
      <c r="C33" s="313" t="str">
        <f ca="1">IF(项目基本情况!B11="自然人","——",IF(D33="按租金收入计税",ROUND(C5*F33,2),IF(D33="按房产原值计税",ROUND(C29*F33*0.7,2),INDIRECT("'数据-取费表'!Aj"&amp;$G$1))))</f>
        <v>——</v>
      </c>
      <c r="D33" s="1301" t="s">
        <v>2414</v>
      </c>
      <c r="E33" s="684" t="s">
        <v>363</v>
      </c>
      <c r="F33" s="707">
        <f>IF(D33="按票据","——",IF(D33="按租金收入计税",'数据-取费表'!B51,'数据-取费表'!B50))</f>
        <v>1.2E-2</v>
      </c>
      <c r="G33" s="2289"/>
      <c r="H33" s="1290"/>
      <c r="I33" s="2882"/>
      <c r="J33" s="2883"/>
      <c r="K33" s="1291"/>
      <c r="L33" s="1290"/>
      <c r="M33" s="1290"/>
    </row>
    <row r="34" spans="1:18" ht="18" customHeight="1">
      <c r="A34" s="2623" t="s">
        <v>2608</v>
      </c>
      <c r="B34" s="496" t="s">
        <v>937</v>
      </c>
      <c r="C34" s="314" t="str">
        <f>IF(项目基本情况!B11="自然人","——",ROUND(F34*F35/10000,2))</f>
        <v>——</v>
      </c>
      <c r="D34" s="710" t="s">
        <v>938</v>
      </c>
      <c r="E34" s="684" t="s">
        <v>939</v>
      </c>
      <c r="F34" s="711">
        <f>'数据-取费表'!B52</f>
        <v>12</v>
      </c>
      <c r="G34" s="2289"/>
      <c r="H34" s="1278"/>
      <c r="I34" s="2882"/>
      <c r="J34" s="2883"/>
      <c r="K34" s="1292"/>
      <c r="L34" s="1293"/>
      <c r="M34" s="1293"/>
    </row>
    <row r="35" spans="1:18" ht="18" customHeight="1">
      <c r="A35" s="2697"/>
      <c r="B35" s="2695"/>
      <c r="C35" s="318"/>
      <c r="D35" s="713"/>
      <c r="E35" s="684" t="s">
        <v>943</v>
      </c>
      <c r="F35" s="685">
        <f ca="1">INDIRECT("'数据-取费表'!r"&amp;$G$1)</f>
        <v>0</v>
      </c>
      <c r="G35" s="2289"/>
      <c r="H35" s="1278"/>
      <c r="I35" s="2882"/>
      <c r="J35" s="2883"/>
      <c r="K35" s="1291"/>
      <c r="L35" s="1290"/>
      <c r="M35" s="1290"/>
    </row>
    <row r="36" spans="1:18" ht="18" customHeight="1">
      <c r="A36" s="2696" t="s">
        <v>2381</v>
      </c>
      <c r="B36" s="684" t="s">
        <v>945</v>
      </c>
      <c r="C36" s="313">
        <f ca="1">ROUND(C29*F36,1)</f>
        <v>2.6</v>
      </c>
      <c r="D36" s="3359" t="s">
        <v>975</v>
      </c>
      <c r="E36" s="684" t="s">
        <v>363</v>
      </c>
      <c r="F36" s="714">
        <f ca="1">INDIRECT("'数据-取费表'!Ak"&amp;$G$1)</f>
        <v>1.4999999999999999E-2</v>
      </c>
      <c r="G36" s="2289"/>
      <c r="H36" s="1290"/>
      <c r="I36" s="2882"/>
      <c r="J36" s="2883"/>
      <c r="K36" s="1294"/>
      <c r="L36" s="1290"/>
      <c r="M36" s="1290"/>
    </row>
    <row r="37" spans="1:18" ht="18" customHeight="1">
      <c r="A37" s="2439" t="s">
        <v>2612</v>
      </c>
      <c r="B37" s="684" t="s">
        <v>366</v>
      </c>
      <c r="C37" s="313">
        <f ca="1">ROUND(C13*F37,1)</f>
        <v>0.2</v>
      </c>
      <c r="D37" s="3359" t="s">
        <v>367</v>
      </c>
      <c r="E37" s="684" t="s">
        <v>363</v>
      </c>
      <c r="F37" s="716">
        <f ca="1">INDIRECT("'数据-取费表'!Al"&amp;$G$1)</f>
        <v>1.5E-3</v>
      </c>
      <c r="G37" s="2289"/>
      <c r="H37" s="1290"/>
      <c r="I37" s="2882"/>
      <c r="J37" s="2883"/>
      <c r="K37" s="1294"/>
      <c r="L37" s="1290"/>
      <c r="M37" s="1290"/>
    </row>
    <row r="38" spans="1:18" ht="18" customHeight="1" thickBot="1">
      <c r="A38" s="2679" t="s">
        <v>2613</v>
      </c>
      <c r="B38" s="2680" t="s">
        <v>365</v>
      </c>
      <c r="C38" s="2681">
        <f ca="1">ROUND(C5*F38,1)</f>
        <v>1</v>
      </c>
      <c r="D38" s="2682" t="s">
        <v>369</v>
      </c>
      <c r="E38" s="2680" t="s">
        <v>363</v>
      </c>
      <c r="F38" s="2676">
        <f ca="1">INDIRECT("'数据-取费表'!Am"&amp;$G$1)</f>
        <v>0.01</v>
      </c>
      <c r="G38" s="2289"/>
      <c r="H38" s="1290"/>
      <c r="I38" s="2882"/>
      <c r="J38" s="2883"/>
      <c r="K38" s="1295"/>
      <c r="L38" s="1290"/>
      <c r="M38" s="1290"/>
    </row>
    <row r="39" spans="1:18" ht="24.6" customHeight="1" thickTop="1">
      <c r="A39" s="2667" t="s">
        <v>2354</v>
      </c>
      <c r="B39" s="2684" t="s">
        <v>375</v>
      </c>
      <c r="C39" s="692">
        <f ca="1">C5-C30</f>
        <v>82</v>
      </c>
      <c r="D39" s="2685" t="s">
        <v>376</v>
      </c>
      <c r="E39" s="2686"/>
      <c r="F39" s="2687"/>
      <c r="G39" s="2289"/>
      <c r="H39" s="1290"/>
      <c r="I39" s="2882"/>
      <c r="J39" s="2883"/>
      <c r="K39" s="1295"/>
      <c r="L39" s="1290"/>
      <c r="M39" s="1290"/>
    </row>
    <row r="40" spans="1:18" ht="18" customHeight="1">
      <c r="A40" s="681" t="s">
        <v>2357</v>
      </c>
      <c r="B40" s="682" t="s">
        <v>377</v>
      </c>
      <c r="C40" s="683">
        <f ca="1">ROUND(C39*(1-((1+F42)/(1+F40))^F41)/(F40-F42),0)</f>
        <v>1591</v>
      </c>
      <c r="D40" s="710" t="s">
        <v>371</v>
      </c>
      <c r="E40" s="684" t="s">
        <v>372</v>
      </c>
      <c r="F40" s="694">
        <f ca="1">INDIRECT("'数据-取费表'!I"&amp;$G$1)</f>
        <v>5.5E-2</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24.01</v>
      </c>
      <c r="G41" s="2289"/>
      <c r="H41" s="1192"/>
      <c r="I41" s="2882"/>
      <c r="J41" s="2883"/>
      <c r="K41" s="1294"/>
      <c r="L41" s="1192"/>
      <c r="M41" s="1192"/>
    </row>
    <row r="42" spans="1:18" ht="18" customHeight="1">
      <c r="A42" s="690"/>
      <c r="B42" s="691"/>
      <c r="C42" s="692"/>
      <c r="D42" s="713"/>
      <c r="E42" s="684" t="s">
        <v>380</v>
      </c>
      <c r="F42" s="694">
        <f ca="1">INDIRECT("'数据-取费表'!v"&amp;$G$1)</f>
        <v>0.04</v>
      </c>
      <c r="G42" s="2289"/>
      <c r="H42" s="1192"/>
      <c r="I42" s="2882"/>
      <c r="J42" s="2883"/>
      <c r="K42" s="1294"/>
      <c r="L42" s="1192"/>
      <c r="M42" s="1192"/>
    </row>
    <row r="43" spans="1:18" ht="18" customHeight="1" thickBot="1">
      <c r="A43" s="720" t="s">
        <v>2364</v>
      </c>
      <c r="B43" s="721" t="s">
        <v>381</v>
      </c>
      <c r="C43" s="722">
        <f ca="1">ROUND(C40*10000/F43,0)</f>
        <v>40178</v>
      </c>
      <c r="D43" s="723" t="s">
        <v>382</v>
      </c>
      <c r="E43" s="724" t="s">
        <v>383</v>
      </c>
      <c r="F43" s="725">
        <f ca="1">INDIRECT("'数据-取费表'!k"&amp;$G$1)</f>
        <v>395.99</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2487</v>
      </c>
      <c r="P45" s="1296"/>
      <c r="Q45" s="1296"/>
      <c r="R45" s="1296"/>
    </row>
    <row r="46" spans="1:18" s="1455" customFormat="1" ht="21" thickBot="1">
      <c r="A46" s="2397" t="s">
        <v>2326</v>
      </c>
      <c r="B46" s="2398"/>
      <c r="C46" s="2726">
        <f ca="1">C68-C40</f>
        <v>435</v>
      </c>
      <c r="D46" s="2727" t="str">
        <f>C2</f>
        <v>万元</v>
      </c>
      <c r="E46" s="1433"/>
      <c r="F46" s="1433"/>
      <c r="I46" s="2579" t="s">
        <v>2422</v>
      </c>
      <c r="J46" s="2580"/>
      <c r="K46" s="2581"/>
      <c r="L46" s="2583" t="str">
        <f ca="1">IF(M47="住宅",0,IF(L48&gt;J51,L60,J60))</f>
        <v>0</v>
      </c>
      <c r="O46" s="2595" t="s">
        <v>2465</v>
      </c>
      <c r="P46" s="2596" t="s">
        <v>2466</v>
      </c>
      <c r="Q46" s="2597" t="s">
        <v>2464</v>
      </c>
      <c r="R46" s="2597" t="s">
        <v>2467</v>
      </c>
    </row>
    <row r="47" spans="1:18" s="1455" customFormat="1" ht="15.75" thickBot="1">
      <c r="A47" s="2399" t="s">
        <v>910</v>
      </c>
      <c r="B47" s="2435" t="s">
        <v>911</v>
      </c>
      <c r="C47" s="2731" t="s">
        <v>912</v>
      </c>
      <c r="D47" s="2435" t="s">
        <v>913</v>
      </c>
      <c r="E47" s="2538" t="s">
        <v>914</v>
      </c>
      <c r="F47" s="2539"/>
      <c r="G47" s="1457"/>
      <c r="I47" s="2554" t="s">
        <v>2415</v>
      </c>
      <c r="J47" s="2555" t="s">
        <v>3072</v>
      </c>
      <c r="K47" s="2564" t="s">
        <v>2438</v>
      </c>
      <c r="L47" s="2565">
        <f ca="1">INDIRECT("'数据-取费表'!d"&amp;$G$1)</f>
        <v>40</v>
      </c>
      <c r="M47" s="2585" t="str">
        <f>IF(ISNUMBER(FIND("住宅",C1)),"住宅","非住宅")</f>
        <v>非住宅</v>
      </c>
      <c r="O47" s="2588" t="s">
        <v>2450</v>
      </c>
      <c r="P47" s="2598" t="s">
        <v>2468</v>
      </c>
      <c r="Q47" s="2589">
        <f ca="1">C40+J29</f>
        <v>1591</v>
      </c>
      <c r="R47" s="2589" t="s">
        <v>2469</v>
      </c>
    </row>
    <row r="48" spans="1:18" s="1455" customFormat="1" ht="47.25" thickBot="1">
      <c r="A48" s="2712" t="s">
        <v>2618</v>
      </c>
      <c r="B48" s="682" t="s">
        <v>2333</v>
      </c>
      <c r="C48" s="3362">
        <f ca="1">C49+C53+C55</f>
        <v>130</v>
      </c>
      <c r="D48" s="2716"/>
      <c r="E48" s="2717"/>
      <c r="F48" s="2419"/>
      <c r="G48" s="1457"/>
      <c r="H48" s="1458"/>
      <c r="I48" s="2545" t="s">
        <v>2416</v>
      </c>
      <c r="J48" s="2556" t="s">
        <v>2417</v>
      </c>
      <c r="K48" s="2566" t="s">
        <v>679</v>
      </c>
      <c r="L48" s="2169">
        <f ca="1">INDIRECT("'数据-取费表'!f"&amp;$G$1)</f>
        <v>24.01</v>
      </c>
      <c r="O48" s="2588" t="s">
        <v>2451</v>
      </c>
      <c r="P48" s="2598" t="s">
        <v>2470</v>
      </c>
      <c r="Q48" s="2589" t="str">
        <f ca="1">J60</f>
        <v>0</v>
      </c>
      <c r="R48" s="2589" t="s">
        <v>2478</v>
      </c>
    </row>
    <row r="49" spans="1:18" s="1455" customFormat="1" ht="15.75" thickBot="1">
      <c r="A49" s="2432" t="s">
        <v>2619</v>
      </c>
      <c r="B49" s="2715" t="s">
        <v>2621</v>
      </c>
      <c r="C49" s="2724">
        <f ca="1">ROUND(F49*F51*F50*(1-F52)/10000,0)</f>
        <v>130</v>
      </c>
      <c r="D49" s="2534" t="s">
        <v>2334</v>
      </c>
      <c r="E49" s="2537" t="s">
        <v>2327</v>
      </c>
      <c r="F49" s="2540">
        <v>10</v>
      </c>
      <c r="G49" s="1459"/>
      <c r="H49" s="1458"/>
      <c r="I49" s="2545" t="s">
        <v>2436</v>
      </c>
      <c r="J49" s="2557">
        <v>2003</v>
      </c>
      <c r="K49" s="2567" t="s">
        <v>2441</v>
      </c>
      <c r="L49" s="2568"/>
      <c r="O49" s="2590" t="s">
        <v>2452</v>
      </c>
      <c r="P49" s="2598" t="s">
        <v>2471</v>
      </c>
      <c r="Q49" s="2589">
        <f ca="1">C29</f>
        <v>170</v>
      </c>
      <c r="R49" s="2589" t="s">
        <v>2469</v>
      </c>
    </row>
    <row r="50" spans="1:18" s="1455" customFormat="1" ht="15.75" thickBot="1">
      <c r="A50" s="2433"/>
      <c r="B50" s="2436"/>
      <c r="C50" s="2732"/>
      <c r="D50" s="2406"/>
      <c r="E50" s="2535" t="s">
        <v>916</v>
      </c>
      <c r="F50" s="2536">
        <f ca="1">F7</f>
        <v>395.98999999999978</v>
      </c>
      <c r="H50" s="1458"/>
      <c r="I50" s="2545" t="s">
        <v>2418</v>
      </c>
      <c r="J50" s="2558">
        <f>SUMPRODUCT((I63:I65=J47)*(J62:L62=J48)*(J63:L65))</f>
        <v>60</v>
      </c>
      <c r="K50" s="2567" t="s">
        <v>2442</v>
      </c>
      <c r="L50" s="2568"/>
      <c r="M50" s="2562"/>
      <c r="O50" s="2590" t="s">
        <v>2453</v>
      </c>
      <c r="P50" s="2598" t="s">
        <v>2479</v>
      </c>
      <c r="Q50" s="2591" t="e">
        <f ca="1">J58</f>
        <v>#VALUE!</v>
      </c>
      <c r="R50" s="2589"/>
    </row>
    <row r="51" spans="1:18" s="1455" customFormat="1" ht="15.75" thickBot="1">
      <c r="A51" s="2434"/>
      <c r="B51" s="2436"/>
      <c r="C51" s="2437"/>
      <c r="D51" s="2406"/>
      <c r="E51" s="2438" t="s">
        <v>917</v>
      </c>
      <c r="F51" s="685">
        <f ca="1">F8</f>
        <v>365</v>
      </c>
      <c r="I51" s="2559" t="s">
        <v>2423</v>
      </c>
      <c r="J51" s="2560">
        <f>IF(J49="",J50,J49+J50-YEAR('数据-取费表'!B2))</f>
        <v>46</v>
      </c>
      <c r="K51" s="2569" t="s">
        <v>2443</v>
      </c>
      <c r="L51" s="2582">
        <f ca="1">ROUND(-PV(INDIRECT("'数据-取费表'!h"&amp;$G$1),L48,(C39-C13*C76),0),0)</f>
        <v>1027</v>
      </c>
      <c r="M51" s="2563"/>
      <c r="O51" s="2590" t="s">
        <v>2454</v>
      </c>
      <c r="P51" s="2598" t="s">
        <v>2480</v>
      </c>
      <c r="Q51" s="2591">
        <f>J52</f>
        <v>0.09</v>
      </c>
      <c r="R51" s="2589"/>
    </row>
    <row r="52" spans="1:18" s="1455" customFormat="1" ht="15.75" thickBot="1">
      <c r="A52" s="2434"/>
      <c r="B52" s="2436"/>
      <c r="C52" s="2437"/>
      <c r="D52" s="2406"/>
      <c r="E52" s="2438" t="s">
        <v>918</v>
      </c>
      <c r="F52" s="2533">
        <v>0.1</v>
      </c>
      <c r="I52" s="2561" t="s">
        <v>2446</v>
      </c>
      <c r="J52" s="2575">
        <v>0.09</v>
      </c>
      <c r="K52" s="2561" t="s">
        <v>2431</v>
      </c>
      <c r="L52" s="2575"/>
      <c r="M52" s="2398"/>
      <c r="O52" s="2590" t="s">
        <v>2455</v>
      </c>
      <c r="P52" s="2598" t="s">
        <v>2472</v>
      </c>
      <c r="Q52" s="2589">
        <f ca="1">J53</f>
        <v>24.01</v>
      </c>
      <c r="R52" s="2589" t="s">
        <v>2473</v>
      </c>
    </row>
    <row r="53" spans="1:18" s="1455" customFormat="1" ht="43.5" thickBot="1">
      <c r="A53" s="2827" t="s">
        <v>2620</v>
      </c>
      <c r="B53" s="433" t="s">
        <v>2530</v>
      </c>
      <c r="C53" s="698">
        <f ca="1">ROUND(IF(F53="押一",F49*F51*F50/12*F11,IF(F53="押二",F49*F51*F50/12*2*F11,IF(F53="押三",F49*F51*F50/12*3*F11,C54*F11)))/10000,0)</f>
        <v>0</v>
      </c>
      <c r="D53" s="2635" t="s">
        <v>2538</v>
      </c>
      <c r="E53" s="2098" t="s">
        <v>2532</v>
      </c>
      <c r="F53" s="2829" t="s">
        <v>3073</v>
      </c>
      <c r="I53" s="2571" t="s">
        <v>2448</v>
      </c>
      <c r="J53" s="2572">
        <f ca="1">IF(M47="住宅",J51,MIN(J51,L48))</f>
        <v>24.01</v>
      </c>
      <c r="K53" s="3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1"/>
      <c r="O53" s="2588" t="s">
        <v>2456</v>
      </c>
      <c r="P53" s="2598" t="s">
        <v>2474</v>
      </c>
      <c r="Q53" s="2589">
        <f ca="1">Q47+Q48</f>
        <v>1591</v>
      </c>
      <c r="R53" s="2589" t="s">
        <v>2457</v>
      </c>
    </row>
    <row r="54" spans="1:18" s="1455" customFormat="1" ht="16.5" thickBot="1">
      <c r="A54" s="2828"/>
      <c r="B54" s="2625" t="s">
        <v>2696</v>
      </c>
      <c r="C54" s="2416"/>
      <c r="D54" s="2635"/>
      <c r="E54" s="3361"/>
      <c r="F54" s="2541"/>
      <c r="I54" s="2413"/>
      <c r="J54" s="2570"/>
      <c r="K54" s="2570"/>
      <c r="L54" s="2570"/>
      <c r="M54" s="1459"/>
      <c r="O54" s="2592" t="s">
        <v>2481</v>
      </c>
      <c r="P54" s="1296"/>
      <c r="Q54" s="1296"/>
      <c r="R54" s="1296"/>
    </row>
    <row r="55" spans="1:18" s="1455" customFormat="1" ht="15.75" thickBot="1">
      <c r="A55" s="2671" t="s">
        <v>2543</v>
      </c>
      <c r="B55" s="2672" t="s">
        <v>2531</v>
      </c>
      <c r="C55" s="2673"/>
      <c r="D55" s="2635"/>
      <c r="E55" s="3361"/>
      <c r="F55" s="2541"/>
      <c r="I55" s="3319" t="s">
        <v>2424</v>
      </c>
      <c r="J55" s="3318" t="e">
        <f ca="1">ROUND(IF(J47="钢混",J57/J50,1-(1-2%)*(J50-J57)/J50),3)</f>
        <v>#VALUE!</v>
      </c>
      <c r="K55" s="2552" t="s">
        <v>2425</v>
      </c>
      <c r="L55" s="2574" t="s">
        <v>3105</v>
      </c>
      <c r="O55" s="2595" t="s">
        <v>2465</v>
      </c>
      <c r="P55" s="2596" t="s">
        <v>2466</v>
      </c>
      <c r="Q55" s="2597" t="s">
        <v>2464</v>
      </c>
      <c r="R55" s="2597" t="s">
        <v>2467</v>
      </c>
    </row>
    <row r="56" spans="1:18" s="1455" customFormat="1" ht="44.25" thickTop="1" thickBot="1">
      <c r="A56" s="2410">
        <v>2</v>
      </c>
      <c r="B56" s="2411" t="s">
        <v>919</v>
      </c>
      <c r="C56" s="608">
        <f ca="1">C13</f>
        <v>131</v>
      </c>
      <c r="D56" s="2699"/>
      <c r="E56" s="2412"/>
      <c r="F56" s="2541"/>
      <c r="I56" s="2544" t="s">
        <v>2426</v>
      </c>
      <c r="J56" s="2573" t="s">
        <v>3053</v>
      </c>
      <c r="K56" s="2545" t="s">
        <v>2430</v>
      </c>
      <c r="L56" s="2169" t="str">
        <f ca="1">IF(L48&lt;J51,"——",L48-J51)</f>
        <v>——</v>
      </c>
      <c r="O56" s="2588" t="s">
        <v>2450</v>
      </c>
      <c r="P56" s="2598" t="s">
        <v>2468</v>
      </c>
      <c r="Q56" s="2589">
        <f ca="1">C40+J29</f>
        <v>1591</v>
      </c>
      <c r="R56" s="2589" t="s">
        <v>2469</v>
      </c>
    </row>
    <row r="57" spans="1:18" s="1455" customFormat="1" ht="29.25" thickBot="1">
      <c r="A57" s="2542"/>
      <c r="B57" s="2403" t="s">
        <v>968</v>
      </c>
      <c r="C57" s="614">
        <f ca="1">C29</f>
        <v>170</v>
      </c>
      <c r="D57" s="2414"/>
      <c r="E57" s="2415"/>
      <c r="F57" s="2543"/>
      <c r="I57" s="2546" t="s">
        <v>2447</v>
      </c>
      <c r="J57" s="2550" t="str">
        <f ca="1">IF(OR(M47="住宅",J51&lt;L48,J56="是"),"——",J51-L48)</f>
        <v>——</v>
      </c>
      <c r="K57" s="2545" t="s">
        <v>2898</v>
      </c>
      <c r="L57" s="2169" t="str">
        <f ca="1">IF(L48&lt;J51,"——",IF(L55="比较法",L49,IF(L55="基准地价",L50,L51)))</f>
        <v>——</v>
      </c>
      <c r="O57" s="2588" t="s">
        <v>2451</v>
      </c>
      <c r="P57" s="2598" t="s">
        <v>2475</v>
      </c>
      <c r="Q57" s="2589">
        <f ca="1">L60</f>
        <v>0</v>
      </c>
      <c r="R57" s="2589" t="s">
        <v>2490</v>
      </c>
    </row>
    <row r="58" spans="1:18" s="1455" customFormat="1" ht="29.25" thickBot="1">
      <c r="A58" s="697" t="s">
        <v>2339</v>
      </c>
      <c r="B58" s="2411" t="s">
        <v>926</v>
      </c>
      <c r="C58" s="698">
        <f ca="1">ROUND(C59+C64+C65+C66,0)</f>
        <v>20</v>
      </c>
      <c r="D58" s="2417" t="s">
        <v>927</v>
      </c>
      <c r="E58" s="2418"/>
      <c r="F58" s="2419"/>
      <c r="I58" s="2546" t="s">
        <v>2427</v>
      </c>
      <c r="J58" s="3320" t="e">
        <f ca="1">IF(J55&lt;0.4,0.4,J55)</f>
        <v>#VALUE!</v>
      </c>
      <c r="K58" s="2569" t="s">
        <v>2899</v>
      </c>
      <c r="L58" s="2169">
        <f ca="1">IF(ISERROR(POWER(1+L52,L47-L48)*(POWER(1+L52,L48)-1)/(POWER(1+L52,L47)-1)),0,POWER(1+L52,L47-L48)*(POWER(1+L52,L48)-1)/(POWER(1+L52,L47)-1))</f>
        <v>0</v>
      </c>
      <c r="O58" s="2590" t="s">
        <v>2452</v>
      </c>
      <c r="P58" s="2598" t="s">
        <v>2482</v>
      </c>
      <c r="Q58" s="2589">
        <f>IF(L55="比较法",L49,IF(L55="基准地价",L50,0))</f>
        <v>0</v>
      </c>
      <c r="R58" s="2589" t="s">
        <v>2469</v>
      </c>
    </row>
    <row r="59" spans="1:18" s="1455" customFormat="1" ht="29.25" thickBot="1">
      <c r="A59" s="2439" t="s">
        <v>2374</v>
      </c>
      <c r="B59" s="2403" t="s">
        <v>361</v>
      </c>
      <c r="C59" s="313">
        <f ca="1">ROUND(IF(项目基本情况!B11="自然人",C48*F59,C60+C61+C62),1)</f>
        <v>15.6</v>
      </c>
      <c r="D59" s="2420" t="s">
        <v>930</v>
      </c>
      <c r="E59" s="2421" t="s">
        <v>931</v>
      </c>
      <c r="F59" s="708">
        <f ca="1">IF(项目基本情况!B11="企业","",IF(INDIRECT("'数据-取费表'!c"&amp;$G$1)="住宅",5%,IF(F49*F50*F51/12/(1+'数据-取费表'!C42)&gt;20000,12%,7%)))</f>
        <v>0.12</v>
      </c>
      <c r="I59" s="2546" t="s">
        <v>2428</v>
      </c>
      <c r="J59" s="2550" t="str">
        <f ca="1">IF(OR(M47="住宅",J51&lt;L48,J56="是"),"——",ROUND(C29*J58,0))</f>
        <v>——</v>
      </c>
      <c r="K59" s="2569" t="s">
        <v>2900</v>
      </c>
      <c r="L59" s="2169">
        <f ca="1">IF(ISERROR(POWER(1+L52,L47-J51)*(POWER(1+L52,J51)-1)/(POWER(1+L52,L47)-1)),0,POWER(1+L52,L47-J51)*(POWER(1+L52,J51)-1)/(POWER(1+L52,L47)-1))</f>
        <v>0</v>
      </c>
      <c r="O59" s="2590" t="s">
        <v>2453</v>
      </c>
      <c r="P59" s="2598" t="s">
        <v>2483</v>
      </c>
      <c r="Q59" s="2591">
        <f>L52</f>
        <v>0</v>
      </c>
      <c r="R59" s="2589"/>
    </row>
    <row r="60" spans="1:18" s="1455" customFormat="1" ht="20.25" thickBot="1">
      <c r="A60" s="2439" t="s">
        <v>2371</v>
      </c>
      <c r="B60" s="2403" t="s">
        <v>932</v>
      </c>
      <c r="C60" s="313" t="str">
        <f>IF(项目基本情况!B11="自然人","——",ROUND(C48*F60/(1+'数据-取费表'!C42),2))</f>
        <v>——</v>
      </c>
      <c r="D60" s="2421" t="s">
        <v>933</v>
      </c>
      <c r="E60" s="2403" t="s">
        <v>363</v>
      </c>
      <c r="F60" s="717">
        <f t="shared" ref="F60:F66" si="0">F32</f>
        <v>5.3500000000000006E-2</v>
      </c>
      <c r="I60" s="2547" t="s">
        <v>2429</v>
      </c>
      <c r="J60" s="2551" t="str">
        <f ca="1">IF(OR(M47="住宅",J51&lt;L48,J56="是"),"0",ROUND(J59/(1+J52)^J53,0))</f>
        <v>0</v>
      </c>
      <c r="K60" s="2553" t="s">
        <v>2432</v>
      </c>
      <c r="L60" s="2551">
        <f ca="1">IF(OR(M47="住宅",L48&lt;J51),0,ROUND(L57*(L58/L59-1),0))</f>
        <v>0</v>
      </c>
      <c r="O60" s="2590" t="s">
        <v>2454</v>
      </c>
      <c r="P60" s="2598" t="s">
        <v>2484</v>
      </c>
      <c r="Q60" s="2589">
        <f ca="1">L58</f>
        <v>0</v>
      </c>
      <c r="R60" s="2589" t="s">
        <v>2459</v>
      </c>
    </row>
    <row r="61" spans="1:18" s="1455" customFormat="1" ht="20.25" thickBot="1">
      <c r="A61" s="2439" t="s">
        <v>2372</v>
      </c>
      <c r="B61" s="2403" t="s">
        <v>935</v>
      </c>
      <c r="C61" s="313" t="str">
        <f ca="1">IF(项目基本情况!B11="自然人","——",IF(D61="按租金收入计税",ROUND(C48*F61,2),IF(D61="按房产原值计税",ROUND(C57*F61*0.7,2),INDIRECT("'数据-取费表'!Aj"&amp;$G$1))))</f>
        <v>——</v>
      </c>
      <c r="D61" s="1301" t="s">
        <v>2414</v>
      </c>
      <c r="E61" s="2403" t="s">
        <v>363</v>
      </c>
      <c r="F61" s="707">
        <f t="shared" si="0"/>
        <v>1.2E-2</v>
      </c>
      <c r="I61" s="2413"/>
      <c r="J61" s="2413"/>
      <c r="K61" s="2413"/>
      <c r="L61" s="2413"/>
      <c r="O61" s="2590" t="s">
        <v>2455</v>
      </c>
      <c r="P61" s="2598" t="s">
        <v>2485</v>
      </c>
      <c r="Q61" s="2589">
        <f ca="1">L59</f>
        <v>0</v>
      </c>
      <c r="R61" s="2589" t="s">
        <v>2460</v>
      </c>
    </row>
    <row r="62" spans="1:18" s="1455" customFormat="1" ht="15.75" thickBot="1">
      <c r="A62" s="2439" t="s">
        <v>2373</v>
      </c>
      <c r="B62" s="2402" t="s">
        <v>937</v>
      </c>
      <c r="C62" s="314" t="str">
        <f>IF(项目基本情况!B11="自然人","——",ROUND(F62*F63/10000,2))</f>
        <v>——</v>
      </c>
      <c r="D62" s="2422" t="s">
        <v>938</v>
      </c>
      <c r="E62" s="2403" t="s">
        <v>939</v>
      </c>
      <c r="F62" s="711">
        <f t="shared" si="0"/>
        <v>12</v>
      </c>
      <c r="I62" s="2548" t="s">
        <v>2419</v>
      </c>
      <c r="J62" s="2549" t="s">
        <v>2420</v>
      </c>
      <c r="K62" s="2549" t="s">
        <v>2421</v>
      </c>
      <c r="L62" s="2549" t="s">
        <v>2417</v>
      </c>
      <c r="M62" s="3321" t="s">
        <v>3036</v>
      </c>
      <c r="O62" s="2588" t="s">
        <v>2456</v>
      </c>
      <c r="P62" s="2598" t="s">
        <v>2474</v>
      </c>
      <c r="Q62" s="2589">
        <f ca="1">Q56+Q57</f>
        <v>1591</v>
      </c>
      <c r="R62" s="2589" t="s">
        <v>2457</v>
      </c>
    </row>
    <row r="63" spans="1:18" s="1455" customFormat="1" ht="16.5" thickBot="1">
      <c r="A63" s="712"/>
      <c r="B63" s="2409"/>
      <c r="C63" s="318"/>
      <c r="D63" s="2423"/>
      <c r="E63" s="2403" t="s">
        <v>943</v>
      </c>
      <c r="F63" s="685">
        <f t="shared" ca="1" si="0"/>
        <v>0</v>
      </c>
      <c r="I63" s="2548" t="s">
        <v>2433</v>
      </c>
      <c r="J63" s="3324">
        <v>70</v>
      </c>
      <c r="K63" s="3324">
        <v>50</v>
      </c>
      <c r="L63" s="3324">
        <v>80</v>
      </c>
      <c r="M63" s="3322">
        <v>0.02</v>
      </c>
      <c r="O63" s="2592" t="s">
        <v>2488</v>
      </c>
      <c r="P63" s="1296"/>
      <c r="Q63" s="1296"/>
      <c r="R63" s="1296"/>
    </row>
    <row r="64" spans="1:18" s="1455" customFormat="1" ht="15.75" thickBot="1">
      <c r="A64" s="2439" t="s">
        <v>2381</v>
      </c>
      <c r="B64" s="2403" t="s">
        <v>945</v>
      </c>
      <c r="C64" s="313">
        <f ca="1">ROUND(C57*F64,1)</f>
        <v>2.6</v>
      </c>
      <c r="D64" s="2421" t="s">
        <v>975</v>
      </c>
      <c r="E64" s="2403" t="s">
        <v>363</v>
      </c>
      <c r="F64" s="714">
        <f t="shared" ca="1" si="0"/>
        <v>1.4999999999999999E-2</v>
      </c>
      <c r="I64" s="2548" t="s">
        <v>105</v>
      </c>
      <c r="J64" s="3324">
        <v>50</v>
      </c>
      <c r="K64" s="3324">
        <v>35</v>
      </c>
      <c r="L64" s="3324">
        <v>60</v>
      </c>
      <c r="M64" s="3323">
        <v>0</v>
      </c>
      <c r="O64" s="2595" t="s">
        <v>2465</v>
      </c>
      <c r="P64" s="2596" t="s">
        <v>2466</v>
      </c>
      <c r="Q64" s="2597" t="s">
        <v>2464</v>
      </c>
      <c r="R64" s="2597" t="s">
        <v>2467</v>
      </c>
    </row>
    <row r="65" spans="1:18" s="1455" customFormat="1" ht="15.75" thickBot="1">
      <c r="A65" s="2439" t="s">
        <v>2375</v>
      </c>
      <c r="B65" s="2403" t="s">
        <v>366</v>
      </c>
      <c r="C65" s="313">
        <f ca="1">ROUND(C56*F65,1)</f>
        <v>0.2</v>
      </c>
      <c r="D65" s="2421" t="s">
        <v>367</v>
      </c>
      <c r="E65" s="2403" t="s">
        <v>363</v>
      </c>
      <c r="F65" s="716">
        <f t="shared" ca="1" si="0"/>
        <v>1.5E-3</v>
      </c>
      <c r="I65" s="2548" t="s">
        <v>2435</v>
      </c>
      <c r="J65" s="3324">
        <v>40</v>
      </c>
      <c r="K65" s="3324">
        <v>30</v>
      </c>
      <c r="L65" s="3324">
        <v>50</v>
      </c>
      <c r="M65" s="3322">
        <v>0.02</v>
      </c>
      <c r="O65" s="2588" t="s">
        <v>2450</v>
      </c>
      <c r="P65" s="2598" t="s">
        <v>2468</v>
      </c>
      <c r="Q65" s="2589">
        <f ca="1">C40+J29</f>
        <v>1591</v>
      </c>
      <c r="R65" s="2589" t="s">
        <v>2469</v>
      </c>
    </row>
    <row r="66" spans="1:18" s="1455" customFormat="1" ht="20.25" thickBot="1">
      <c r="A66" s="2439" t="s">
        <v>2376</v>
      </c>
      <c r="B66" s="2403" t="s">
        <v>365</v>
      </c>
      <c r="C66" s="313">
        <f ca="1">ROUND(C48*F66,1)</f>
        <v>1.3</v>
      </c>
      <c r="D66" s="2421" t="s">
        <v>369</v>
      </c>
      <c r="E66" s="2403" t="s">
        <v>363</v>
      </c>
      <c r="F66" s="694">
        <f t="shared" ca="1" si="0"/>
        <v>0.01</v>
      </c>
      <c r="O66" s="2588" t="s">
        <v>2451</v>
      </c>
      <c r="P66" s="2598" t="s">
        <v>2475</v>
      </c>
      <c r="Q66" s="2589">
        <f ca="1">L60</f>
        <v>0</v>
      </c>
      <c r="R66" s="2589" t="s">
        <v>2458</v>
      </c>
    </row>
    <row r="67" spans="1:18" s="1455" customFormat="1" ht="24.75" thickBot="1">
      <c r="A67" s="2410" t="s">
        <v>2354</v>
      </c>
      <c r="B67" s="2424" t="s">
        <v>375</v>
      </c>
      <c r="C67" s="698">
        <f ca="1">C48-C58</f>
        <v>110</v>
      </c>
      <c r="D67" s="2420" t="s">
        <v>376</v>
      </c>
      <c r="E67" s="2425"/>
      <c r="F67" s="2426"/>
      <c r="O67" s="2590" t="s">
        <v>2452</v>
      </c>
      <c r="P67" s="2598" t="s">
        <v>2482</v>
      </c>
      <c r="Q67" s="2593">
        <f ca="1">L51</f>
        <v>1027</v>
      </c>
      <c r="R67" s="2594" t="s">
        <v>2492</v>
      </c>
    </row>
    <row r="68" spans="1:18" s="1455" customFormat="1" ht="20.25" thickBot="1">
      <c r="A68" s="2400" t="s">
        <v>2357</v>
      </c>
      <c r="B68" s="2401" t="s">
        <v>377</v>
      </c>
      <c r="C68" s="683">
        <f ca="1">ROUND(C67*(1-((1+F70)/(1+F68))^F69)/(F68-F70),0)</f>
        <v>2026</v>
      </c>
      <c r="D68" s="2422" t="s">
        <v>371</v>
      </c>
      <c r="E68" s="2403" t="s">
        <v>372</v>
      </c>
      <c r="F68" s="694">
        <f ca="1">F40</f>
        <v>5.5E-2</v>
      </c>
      <c r="O68" s="2590" t="s">
        <v>2453</v>
      </c>
      <c r="P68" s="2599" t="s">
        <v>2486</v>
      </c>
      <c r="Q68" s="2589">
        <f ca="1">ROUND(Q69-Q70*Q71,0)</f>
        <v>71</v>
      </c>
      <c r="R68" s="2589" t="s">
        <v>2491</v>
      </c>
    </row>
    <row r="69" spans="1:18" s="1455" customFormat="1" ht="15.75" thickBot="1">
      <c r="A69" s="2404"/>
      <c r="B69" s="2405"/>
      <c r="C69" s="688"/>
      <c r="D69" s="2427" t="s">
        <v>960</v>
      </c>
      <c r="E69" s="2403" t="s">
        <v>379</v>
      </c>
      <c r="F69" s="719">
        <f ca="1">F41</f>
        <v>24.01</v>
      </c>
      <c r="O69" s="2590" t="s">
        <v>2461</v>
      </c>
      <c r="P69" s="2599" t="s">
        <v>2476</v>
      </c>
      <c r="Q69" s="2589">
        <f ca="1">C39</f>
        <v>82</v>
      </c>
      <c r="R69" s="2589" t="s">
        <v>2469</v>
      </c>
    </row>
    <row r="70" spans="1:18" s="1455" customFormat="1" ht="15.75" thickBot="1">
      <c r="A70" s="2407"/>
      <c r="B70" s="2408"/>
      <c r="C70" s="692"/>
      <c r="D70" s="2423"/>
      <c r="E70" s="2403" t="s">
        <v>380</v>
      </c>
      <c r="F70" s="2533">
        <v>3.5000000000000003E-2</v>
      </c>
      <c r="O70" s="2590" t="s">
        <v>2462</v>
      </c>
      <c r="P70" s="2599" t="s">
        <v>2477</v>
      </c>
      <c r="Q70" s="2589">
        <f ca="1">C13</f>
        <v>131</v>
      </c>
      <c r="R70" s="2589" t="s">
        <v>2469</v>
      </c>
    </row>
    <row r="71" spans="1:18" s="1455" customFormat="1" ht="15.75" thickBot="1">
      <c r="A71" s="2428" t="s">
        <v>2364</v>
      </c>
      <c r="B71" s="2429" t="s">
        <v>381</v>
      </c>
      <c r="C71" s="722">
        <f ca="1">ROUND(C68*10000/F71,0)</f>
        <v>51163</v>
      </c>
      <c r="D71" s="2430" t="s">
        <v>382</v>
      </c>
      <c r="E71" s="2431" t="s">
        <v>383</v>
      </c>
      <c r="F71" s="725">
        <f ca="1">F43</f>
        <v>395.99</v>
      </c>
      <c r="I71" s="2398"/>
      <c r="K71" s="2398"/>
      <c r="O71" s="2590" t="s">
        <v>2463</v>
      </c>
      <c r="P71" s="2599" t="s">
        <v>2489</v>
      </c>
      <c r="Q71" s="2591">
        <f ca="1">C76</f>
        <v>8.5000000000000006E-2</v>
      </c>
      <c r="R71" s="2589"/>
    </row>
    <row r="72" spans="1:18" s="1455" customFormat="1" ht="15.75" thickBot="1">
      <c r="B72" s="1460"/>
      <c r="C72" s="1460"/>
      <c r="I72" s="2398"/>
      <c r="O72" s="2590" t="s">
        <v>2454</v>
      </c>
      <c r="P72" s="2598" t="s">
        <v>2483</v>
      </c>
      <c r="Q72" s="2591">
        <f>L52</f>
        <v>0</v>
      </c>
      <c r="R72" s="2589"/>
    </row>
    <row r="73" spans="1:18" ht="20.25" thickBot="1">
      <c r="A73" s="1455"/>
      <c r="B73" s="1460"/>
      <c r="C73" s="1460"/>
      <c r="D73" s="1455"/>
      <c r="E73" s="1455"/>
      <c r="F73" s="1455"/>
      <c r="I73" s="2584"/>
      <c r="O73" s="2590" t="s">
        <v>2455</v>
      </c>
      <c r="P73" s="2598" t="s">
        <v>2484</v>
      </c>
      <c r="Q73" s="2589">
        <f ca="1">L58</f>
        <v>0</v>
      </c>
      <c r="R73" s="2589" t="s">
        <v>2459</v>
      </c>
    </row>
    <row r="74" spans="1:18" ht="20.25" thickBot="1">
      <c r="A74" s="1455"/>
      <c r="B74" s="727" t="s">
        <v>384</v>
      </c>
      <c r="C74" s="728"/>
      <c r="D74" s="1455"/>
      <c r="E74" s="1455"/>
      <c r="F74" s="1455"/>
      <c r="O74" s="2590" t="s">
        <v>2493</v>
      </c>
      <c r="P74" s="2598" t="s">
        <v>2485</v>
      </c>
      <c r="Q74" s="2589">
        <f ca="1">L59</f>
        <v>0</v>
      </c>
      <c r="R74" s="2589" t="s">
        <v>2460</v>
      </c>
    </row>
    <row r="75" spans="1:18" ht="15.75" thickBot="1">
      <c r="A75" s="1455"/>
      <c r="B75" s="729" t="s">
        <v>973</v>
      </c>
      <c r="C75" s="730">
        <f ca="1">ROUND(C13*C76,0)</f>
        <v>11</v>
      </c>
      <c r="D75" s="1455"/>
      <c r="E75" s="1455"/>
      <c r="F75" s="1455"/>
      <c r="K75" s="1456"/>
      <c r="L75" s="1455"/>
      <c r="O75" s="2588" t="s">
        <v>2456</v>
      </c>
      <c r="P75" s="2598" t="s">
        <v>2474</v>
      </c>
      <c r="Q75" s="2589">
        <f ca="1">Q65+Q66</f>
        <v>1591</v>
      </c>
      <c r="R75" s="2589" t="s">
        <v>2457</v>
      </c>
    </row>
    <row r="76" spans="1:18">
      <c r="B76" s="731" t="s">
        <v>974</v>
      </c>
      <c r="C76" s="732">
        <f ca="1">INDIRECT("'数据-取费表'!j"&amp;$G$1)</f>
        <v>8.5000000000000006E-2</v>
      </c>
      <c r="I76" s="1455"/>
      <c r="J76" s="1455"/>
      <c r="K76" s="1456"/>
      <c r="L76" s="1455"/>
    </row>
    <row r="77" spans="1:18">
      <c r="B77" s="733" t="s">
        <v>977</v>
      </c>
      <c r="C77" s="734"/>
      <c r="I77" s="1455"/>
      <c r="J77" s="1455"/>
      <c r="K77" s="1456"/>
      <c r="L77" s="1455"/>
    </row>
    <row r="78" spans="1:18">
      <c r="B78" s="646" t="s">
        <v>963</v>
      </c>
      <c r="C78" s="735"/>
    </row>
    <row r="79" spans="1:18">
      <c r="B79" s="2874" t="s">
        <v>2701</v>
      </c>
      <c r="C79" s="650">
        <f ca="1">1-C80</f>
        <v>0.86599999999999999</v>
      </c>
    </row>
    <row r="80" spans="1:18">
      <c r="B80" s="2874" t="s">
        <v>2700</v>
      </c>
      <c r="C80" s="650">
        <f ca="1">ROUND(C75/C39,3)</f>
        <v>0.13400000000000001</v>
      </c>
    </row>
    <row r="81" spans="2:3">
      <c r="B81" s="646" t="s">
        <v>385</v>
      </c>
      <c r="C81" s="647"/>
    </row>
    <row r="82" spans="2:3">
      <c r="B82" s="2873" t="s">
        <v>2699</v>
      </c>
      <c r="C82" s="651">
        <f ca="1">1-C83</f>
        <v>0.91800000000000004</v>
      </c>
    </row>
    <row r="83" spans="2:3">
      <c r="B83" s="2873" t="s">
        <v>2698</v>
      </c>
      <c r="C83" s="650">
        <f ca="1">ROUND(C13/C40,3)</f>
        <v>8.2000000000000003E-2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3"/>
      <c r="D1" s="1274"/>
      <c r="E1" s="2586" t="s">
        <v>536</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1102</v>
      </c>
      <c r="D2" s="2725" t="e">
        <f ca="1">C40+J29+L46</f>
        <v>#DIV/0!</v>
      </c>
      <c r="E2" s="2576" t="s">
        <v>2622</v>
      </c>
      <c r="F2" s="1277"/>
      <c r="G2" s="2288"/>
      <c r="H2" s="1275"/>
      <c r="I2" s="1275"/>
      <c r="J2" s="1275"/>
      <c r="K2" s="1299"/>
      <c r="L2" s="1275"/>
      <c r="M2" s="1275"/>
    </row>
    <row r="3" spans="1:37" ht="18" customHeight="1" thickBot="1">
      <c r="A3" s="675" t="s">
        <v>344</v>
      </c>
      <c r="B3" s="1408">
        <f ca="1">IF(ISERROR(D2/F43),0,ROUND(D2/F43,0))</f>
        <v>0</v>
      </c>
      <c r="C3" s="1300" t="s">
        <v>1103</v>
      </c>
      <c r="D3" s="1276"/>
      <c r="E3" s="2576"/>
      <c r="F3" s="1277"/>
      <c r="G3" s="2288"/>
      <c r="H3" s="676" t="s">
        <v>909</v>
      </c>
      <c r="I3" s="1275"/>
      <c r="J3" s="1275"/>
      <c r="K3" s="1299"/>
      <c r="L3" s="1275"/>
      <c r="M3" s="1275"/>
    </row>
    <row r="4" spans="1:37" ht="18" customHeight="1">
      <c r="A4" s="677" t="s">
        <v>910</v>
      </c>
      <c r="B4" s="678" t="s">
        <v>911</v>
      </c>
      <c r="C4" s="678" t="s">
        <v>912</v>
      </c>
      <c r="D4" s="678" t="s">
        <v>913</v>
      </c>
      <c r="E4" s="679" t="s">
        <v>914</v>
      </c>
      <c r="F4" s="680"/>
      <c r="G4" s="2289"/>
      <c r="H4" s="677" t="s">
        <v>910</v>
      </c>
      <c r="I4" s="678" t="s">
        <v>911</v>
      </c>
      <c r="J4" s="678" t="s">
        <v>912</v>
      </c>
      <c r="K4" s="678" t="s">
        <v>913</v>
      </c>
      <c r="L4" s="679" t="s">
        <v>914</v>
      </c>
      <c r="M4" s="680"/>
    </row>
    <row r="5" spans="1:37" ht="18" customHeight="1">
      <c r="A5" s="681">
        <v>1</v>
      </c>
      <c r="B5" s="682" t="s">
        <v>2333</v>
      </c>
      <c r="C5" s="2627">
        <f ca="1">C6+C10+C12</f>
        <v>0</v>
      </c>
      <c r="D5" s="2637" t="s">
        <v>2536</v>
      </c>
      <c r="E5" s="2628"/>
      <c r="F5" s="2629"/>
      <c r="G5" s="2289"/>
      <c r="H5" s="681">
        <v>1</v>
      </c>
      <c r="I5" s="682" t="s">
        <v>2333</v>
      </c>
      <c r="J5" s="2627">
        <f ca="1">J6+J10+J12</f>
        <v>0</v>
      </c>
      <c r="K5" s="2630" t="s">
        <v>2536</v>
      </c>
      <c r="L5" s="2628"/>
      <c r="M5" s="2629"/>
    </row>
    <row r="6" spans="1:37" ht="18" customHeight="1">
      <c r="A6" s="2623" t="s">
        <v>2374</v>
      </c>
      <c r="B6" s="3682" t="s">
        <v>2535</v>
      </c>
      <c r="C6" s="2632">
        <f ca="1">ROUND(F6*F8*F7*(1-F9),0)</f>
        <v>0</v>
      </c>
      <c r="D6" s="2626" t="s">
        <v>2537</v>
      </c>
      <c r="E6" s="684" t="s">
        <v>915</v>
      </c>
      <c r="F6" s="685">
        <f ca="1">INDIRECT("'数据-取费表'!u"&amp;$G$1)</f>
        <v>0</v>
      </c>
      <c r="G6" s="2289"/>
      <c r="H6" s="2623" t="s">
        <v>2374</v>
      </c>
      <c r="I6" s="3682" t="s">
        <v>2535</v>
      </c>
      <c r="J6" s="683">
        <f ca="1">ROUND(M6*M8*M7*(1-M9),0)</f>
        <v>0</v>
      </c>
      <c r="K6" s="2626" t="s">
        <v>2537</v>
      </c>
      <c r="L6" s="684" t="s">
        <v>915</v>
      </c>
      <c r="M6" s="685">
        <f ca="1">INDIRECT("'数据-取费表'!z"&amp;$G$1)</f>
        <v>0</v>
      </c>
    </row>
    <row r="7" spans="1:37" ht="18" customHeight="1">
      <c r="A7" s="2631"/>
      <c r="B7" s="3683"/>
      <c r="C7" s="2633"/>
      <c r="D7" s="2062"/>
      <c r="E7" s="2634" t="s">
        <v>916</v>
      </c>
      <c r="F7" s="685">
        <f ca="1">IF(INDIRECT("'数据-取费表'!ah"&amp;$G$1)="",INDIRECT("'数据-取费表'!k"&amp;$G$1),INDIRECT("'数据-取费表'!ah"&amp;$G$1))</f>
        <v>0</v>
      </c>
      <c r="G7" s="2289"/>
      <c r="H7" s="686"/>
      <c r="I7" s="3683"/>
      <c r="J7" s="688"/>
      <c r="K7" s="689"/>
      <c r="L7" s="684" t="s">
        <v>916</v>
      </c>
      <c r="M7" s="685">
        <f ca="1">F7</f>
        <v>0</v>
      </c>
    </row>
    <row r="8" spans="1:37" ht="18" customHeight="1">
      <c r="A8" s="686"/>
      <c r="B8" s="3683"/>
      <c r="C8" s="688"/>
      <c r="D8" s="689"/>
      <c r="E8" s="684" t="s">
        <v>917</v>
      </c>
      <c r="F8" s="685">
        <f ca="1">INDIRECT("'数据-取费表'!ai"&amp;$G$1)</f>
        <v>0</v>
      </c>
      <c r="G8" s="2289"/>
      <c r="H8" s="686"/>
      <c r="I8" s="3683"/>
      <c r="J8" s="688"/>
      <c r="K8" s="689"/>
      <c r="L8" s="684" t="s">
        <v>917</v>
      </c>
      <c r="M8" s="685">
        <f ca="1">INDIRECT("'数据-取费表'!ai"&amp;$G$1)</f>
        <v>0</v>
      </c>
    </row>
    <row r="9" spans="1:37" ht="18" customHeight="1">
      <c r="A9" s="686"/>
      <c r="B9" s="3684"/>
      <c r="C9" s="688"/>
      <c r="D9" s="689"/>
      <c r="E9" s="684" t="s">
        <v>918</v>
      </c>
      <c r="F9" s="694">
        <f ca="1">INDIRECT("'数据-取费表'!w"&amp;$G$1)</f>
        <v>0</v>
      </c>
      <c r="G9" s="2289"/>
      <c r="H9" s="686"/>
      <c r="I9" s="3684"/>
      <c r="J9" s="688"/>
      <c r="K9" s="689"/>
      <c r="L9" s="695" t="s">
        <v>918</v>
      </c>
      <c r="M9" s="696">
        <f ca="1">INDIRECT("'数据-取费表'!ab"&amp;$G$1)</f>
        <v>0</v>
      </c>
    </row>
    <row r="10" spans="1:37" ht="18" customHeight="1">
      <c r="A10" s="2623" t="s">
        <v>2381</v>
      </c>
      <c r="B10" s="2624" t="s">
        <v>2530</v>
      </c>
      <c r="C10" s="698">
        <f ca="1">ROUND(IF(F10="押一",F6*F8*F7/12*F11,IF(F10="押二",F6*F8*F7/12*2*F11,IF(F10="押三",F6*F8*F7/12*3*F11,C11*F11))),0)</f>
        <v>0</v>
      </c>
      <c r="D10" s="2635" t="s">
        <v>2538</v>
      </c>
      <c r="E10" s="2098" t="s">
        <v>2532</v>
      </c>
      <c r="F10" s="2829"/>
      <c r="G10" s="2289"/>
      <c r="H10" s="2623" t="s">
        <v>2381</v>
      </c>
      <c r="I10" s="2624" t="s">
        <v>2530</v>
      </c>
      <c r="J10" s="683">
        <f ca="1">ROUND(IF(M10="押一",M6*M8*M7/12*M11,IF(M10="押二",M6*M8*M7/12*2*M11,IF(M10="押三",M6*M8*M7/12*3*M11,J11*M11))),0)</f>
        <v>0</v>
      </c>
      <c r="K10" s="2635" t="s">
        <v>2538</v>
      </c>
      <c r="L10" s="2098" t="s">
        <v>2532</v>
      </c>
      <c r="M10" s="2829" t="s">
        <v>2693</v>
      </c>
    </row>
    <row r="11" spans="1:37" ht="18" customHeight="1">
      <c r="A11" s="690"/>
      <c r="B11" s="2625" t="s">
        <v>2540</v>
      </c>
      <c r="C11" s="2416"/>
      <c r="D11" s="689"/>
      <c r="E11" s="2098" t="s">
        <v>2533</v>
      </c>
      <c r="F11" s="696">
        <f ca="1">'数据-取费表'!B39</f>
        <v>1.4999999999999999E-2</v>
      </c>
      <c r="G11" s="2289"/>
      <c r="H11" s="2636"/>
      <c r="I11" s="2625" t="s">
        <v>2694</v>
      </c>
      <c r="J11" s="2416"/>
      <c r="K11" s="1281"/>
      <c r="L11" s="2098" t="s">
        <v>2533</v>
      </c>
      <c r="M11" s="2097">
        <f ca="1">'数据-取费表'!B39</f>
        <v>1.4999999999999999E-2</v>
      </c>
    </row>
    <row r="12" spans="1:37" ht="18" customHeight="1" thickBot="1">
      <c r="A12" s="2671" t="s">
        <v>2543</v>
      </c>
      <c r="B12" s="2672" t="s">
        <v>2531</v>
      </c>
      <c r="C12" s="2673"/>
      <c r="D12" s="2674"/>
      <c r="E12" s="2675"/>
      <c r="F12" s="2676"/>
      <c r="G12" s="2289"/>
      <c r="H12" s="2671" t="s">
        <v>2543</v>
      </c>
      <c r="I12" s="2672" t="s">
        <v>2531</v>
      </c>
      <c r="J12" s="2673"/>
      <c r="K12" s="2690"/>
      <c r="L12" s="2675"/>
      <c r="M12" s="2691"/>
    </row>
    <row r="13" spans="1:37" ht="18" customHeight="1" thickTop="1">
      <c r="A13" s="2667">
        <v>2</v>
      </c>
      <c r="B13" s="2668" t="s">
        <v>919</v>
      </c>
      <c r="C13" s="692">
        <f ca="1">ROUND(C29*F13,0)</f>
        <v>0</v>
      </c>
      <c r="D13" s="2669" t="s">
        <v>920</v>
      </c>
      <c r="E13" s="2669" t="s">
        <v>921</v>
      </c>
      <c r="F13" s="2670">
        <f ca="1">INDIRECT("'数据-取费表'!y"&amp;$G$1)</f>
        <v>0</v>
      </c>
      <c r="G13" s="2289"/>
      <c r="H13" s="2667">
        <v>2</v>
      </c>
      <c r="I13" s="2668" t="s">
        <v>919</v>
      </c>
      <c r="J13" s="2622">
        <f ca="1">ROUND(J14*J15,0)</f>
        <v>0</v>
      </c>
      <c r="K13" s="2677" t="s">
        <v>920</v>
      </c>
      <c r="L13" s="2688"/>
      <c r="M13" s="2689"/>
    </row>
    <row r="14" spans="1:37" ht="18" customHeight="1">
      <c r="A14" s="2439" t="s">
        <v>2371</v>
      </c>
      <c r="B14" s="684" t="s">
        <v>357</v>
      </c>
      <c r="C14" s="702">
        <f ca="1">ROUND(INDIRECT("'数据-取费表'!l"&amp;$G$1)*F43+'数据-取费表'!L14*INDIRECT("'数据-取费表'!S"&amp;$G$1),0)</f>
        <v>0</v>
      </c>
      <c r="D14" s="2720" t="s">
        <v>922</v>
      </c>
      <c r="E14" s="2719"/>
      <c r="F14" s="703"/>
      <c r="G14" s="2289"/>
      <c r="H14" s="2439" t="s">
        <v>2374</v>
      </c>
      <c r="I14" s="684" t="s">
        <v>923</v>
      </c>
      <c r="J14" s="313">
        <f ca="1">C29</f>
        <v>0</v>
      </c>
      <c r="K14" s="303"/>
      <c r="L14" s="700"/>
      <c r="M14" s="701"/>
    </row>
    <row r="15" spans="1:37" s="706" customFormat="1" ht="18" customHeight="1" thickBot="1">
      <c r="A15" s="2439" t="s">
        <v>2607</v>
      </c>
      <c r="B15" s="684" t="s">
        <v>358</v>
      </c>
      <c r="C15" s="313">
        <f ca="1">ROUND(C14*F15,0)</f>
        <v>0</v>
      </c>
      <c r="D15" s="704" t="s">
        <v>924</v>
      </c>
      <c r="E15" s="704" t="s">
        <v>363</v>
      </c>
      <c r="F15" s="705">
        <f>'数据-取费表'!B33</f>
        <v>0.03</v>
      </c>
      <c r="G15" s="2290"/>
      <c r="H15" s="2679" t="s">
        <v>2381</v>
      </c>
      <c r="I15" s="2680" t="s">
        <v>921</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2608</v>
      </c>
      <c r="B16" s="684" t="s">
        <v>359</v>
      </c>
      <c r="C16" s="313">
        <f ca="1">ROUND(INDIRECT("'数据-取费表'!l"&amp;$G$1)*F43*F16,0)</f>
        <v>0</v>
      </c>
      <c r="D16" s="684" t="s">
        <v>924</v>
      </c>
      <c r="E16" s="684" t="s">
        <v>363</v>
      </c>
      <c r="F16" s="707">
        <f ca="1">IF(INDIRECT("'数据-取费表'!c"&amp;$G$1)="住宅",'数据-取费表'!B34,0)</f>
        <v>0</v>
      </c>
      <c r="G16" s="2289"/>
      <c r="H16" s="2667" t="s">
        <v>2339</v>
      </c>
      <c r="I16" s="2668" t="s">
        <v>926</v>
      </c>
      <c r="J16" s="692">
        <f ca="1">ROUND(J17+J22+J23+J24,0)</f>
        <v>0</v>
      </c>
      <c r="K16" s="2677" t="s">
        <v>927</v>
      </c>
      <c r="L16" s="2678"/>
      <c r="M16" s="2629"/>
    </row>
    <row r="17" spans="1:37" s="706" customFormat="1" ht="18" customHeight="1">
      <c r="A17" s="2439" t="s">
        <v>2609</v>
      </c>
      <c r="B17" s="684" t="s">
        <v>360</v>
      </c>
      <c r="C17" s="313">
        <f ca="1">ROUND(F17*(F43+INDIRECT("'数据-取费表'!S"&amp;$G$1)),0)</f>
        <v>0</v>
      </c>
      <c r="D17" s="684" t="s">
        <v>928</v>
      </c>
      <c r="E17" s="684" t="s">
        <v>929</v>
      </c>
      <c r="F17" s="315">
        <f>'数据-取费表'!B35</f>
        <v>200</v>
      </c>
      <c r="G17" s="2290"/>
      <c r="H17" s="2439" t="s">
        <v>2374</v>
      </c>
      <c r="I17" s="684" t="s">
        <v>361</v>
      </c>
      <c r="J17" s="313">
        <f ca="1">ROUND(IF(项目基本情况!B11="自然人",J5*M17,J18+J19+J20),0)</f>
        <v>0</v>
      </c>
      <c r="K17" s="2720" t="s">
        <v>930</v>
      </c>
      <c r="L17" s="2721" t="s">
        <v>931</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2610</v>
      </c>
      <c r="B18" s="684" t="s">
        <v>362</v>
      </c>
      <c r="C18" s="313">
        <f ca="1">ROUND(C14*F18,0)</f>
        <v>0</v>
      </c>
      <c r="D18" s="684" t="s">
        <v>924</v>
      </c>
      <c r="E18" s="684" t="s">
        <v>363</v>
      </c>
      <c r="F18" s="707">
        <f>'数据-取费表'!B36</f>
        <v>1.4999999999999999E-2</v>
      </c>
      <c r="G18" s="2290"/>
      <c r="H18" s="2439" t="s">
        <v>2371</v>
      </c>
      <c r="I18" s="684" t="s">
        <v>932</v>
      </c>
      <c r="J18" s="313">
        <f ca="1">ROUND(J5*M18/(1+'数据-取费表'!C42),0)</f>
        <v>0</v>
      </c>
      <c r="K18" s="2721" t="s">
        <v>933</v>
      </c>
      <c r="L18" s="684" t="s">
        <v>363</v>
      </c>
      <c r="M18" s="707">
        <f>'数据-取费表'!B41</f>
        <v>5.3500000000000006E-2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2374</v>
      </c>
      <c r="B19" s="684" t="s">
        <v>364</v>
      </c>
      <c r="C19" s="313">
        <f ca="1">SUM(C14:C18)</f>
        <v>0</v>
      </c>
      <c r="D19" s="471" t="s">
        <v>934</v>
      </c>
      <c r="E19" s="2723"/>
      <c r="F19" s="315"/>
      <c r="G19" s="2289"/>
      <c r="H19" s="2439" t="s">
        <v>2607</v>
      </c>
      <c r="I19" s="684" t="s">
        <v>935</v>
      </c>
      <c r="J19" s="313">
        <f ca="1">IF(K19="按租金收入计税",ROUND(J5*M19,0),ROUND(C29*M19*0.7,0))</f>
        <v>0</v>
      </c>
      <c r="K19" s="1301" t="s">
        <v>2414</v>
      </c>
      <c r="L19" s="684" t="s">
        <v>363</v>
      </c>
      <c r="M19" s="707">
        <f>IF(K19="按租金收入计税",'数据-取费表'!B51,'数据-取费表'!B50)</f>
        <v>1.2E-2</v>
      </c>
    </row>
    <row r="20" spans="1:37" s="706" customFormat="1" ht="18" customHeight="1">
      <c r="A20" s="2439" t="s">
        <v>2611</v>
      </c>
      <c r="B20" s="684" t="s">
        <v>365</v>
      </c>
      <c r="C20" s="313">
        <f ca="1">ROUND(C19*F20,0)</f>
        <v>0</v>
      </c>
      <c r="D20" s="709" t="s">
        <v>936</v>
      </c>
      <c r="E20" s="684" t="s">
        <v>363</v>
      </c>
      <c r="F20" s="707">
        <f>'数据-取费表'!B37</f>
        <v>0.02</v>
      </c>
      <c r="G20" s="2290"/>
      <c r="H20" s="2439" t="s">
        <v>2608</v>
      </c>
      <c r="I20" s="496" t="s">
        <v>937</v>
      </c>
      <c r="J20" s="314">
        <f ca="1">ROUND(M20*M21,0)</f>
        <v>0</v>
      </c>
      <c r="K20" s="710" t="s">
        <v>938</v>
      </c>
      <c r="L20" s="684" t="s">
        <v>939</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2612</v>
      </c>
      <c r="B21" s="684" t="s">
        <v>940</v>
      </c>
      <c r="C21" s="313" t="s">
        <v>23</v>
      </c>
      <c r="D21" s="709" t="s">
        <v>941</v>
      </c>
      <c r="E21" s="684" t="s">
        <v>942</v>
      </c>
      <c r="F21" s="707">
        <f>'数据-取费表'!B38</f>
        <v>0.02</v>
      </c>
      <c r="G21" s="2290"/>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2613</v>
      </c>
      <c r="B22" s="684" t="s">
        <v>944</v>
      </c>
      <c r="C22" s="313"/>
      <c r="D22" s="2702" t="str">
        <f>IF(F23&lt;=1,"单利计息。","复利计息。")&amp;"建造成本、管理费用、销售费用产生的利息。"</f>
        <v>复利计息。建造成本、管理费用、销售费用产生的利息。</v>
      </c>
      <c r="E22" s="2723"/>
      <c r="F22" s="315"/>
      <c r="G22" s="2289"/>
      <c r="H22" s="2439" t="s">
        <v>2381</v>
      </c>
      <c r="I22" s="684" t="s">
        <v>945</v>
      </c>
      <c r="J22" s="313">
        <f ca="1">ROUND(J14*M22,0)</f>
        <v>0</v>
      </c>
      <c r="K22" s="2721" t="s">
        <v>946</v>
      </c>
      <c r="L22" s="684" t="s">
        <v>363</v>
      </c>
      <c r="M22" s="714">
        <f ca="1">INDIRECT("'数据-取费表'!Ak"&amp;$G$1)</f>
        <v>0</v>
      </c>
    </row>
    <row r="23" spans="1:37" s="706" customFormat="1" ht="18" customHeight="1">
      <c r="A23" s="2439" t="s">
        <v>2371</v>
      </c>
      <c r="B23" s="684" t="s">
        <v>2527</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947</v>
      </c>
      <c r="F23" s="711">
        <f>'数据-取费表'!B20</f>
        <v>2</v>
      </c>
      <c r="G23" s="2290"/>
      <c r="H23" s="2439" t="s">
        <v>2612</v>
      </c>
      <c r="I23" s="684" t="s">
        <v>366</v>
      </c>
      <c r="J23" s="313">
        <f ca="1">ROUND(J13*M23,0)</f>
        <v>0</v>
      </c>
      <c r="K23" s="2721"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2377</v>
      </c>
      <c r="B24" s="684" t="s">
        <v>949</v>
      </c>
      <c r="C24" s="313">
        <f ca="1">ROUND(IF('数据-取费表'!B22&lt;=1,F21*F24*F23/2,F21*(POWER((1+F24),F23/2)-1)),4)</f>
        <v>1E-3</v>
      </c>
      <c r="D24" s="2706" t="str">
        <f>IF(F23&lt;=1,"销售费用×利率×(建设周期÷2)","销售费用×((1+利率)^(建设周期÷2)-1)")</f>
        <v>销售费用×((1+利率)^(建设周期÷2)-1)</v>
      </c>
      <c r="E24" s="684" t="s">
        <v>950</v>
      </c>
      <c r="F24" s="717">
        <f ca="1">'数据-取费表'!B40</f>
        <v>4.7500000000000001E-2</v>
      </c>
      <c r="G24" s="2290"/>
      <c r="H24" s="2679" t="s">
        <v>2613</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2378</v>
      </c>
      <c r="B25" s="684" t="s">
        <v>370</v>
      </c>
      <c r="C25" s="313"/>
      <c r="D25" s="471" t="s">
        <v>952</v>
      </c>
      <c r="E25" s="2723"/>
      <c r="F25" s="315"/>
      <c r="G25" s="2289"/>
      <c r="H25" s="2667" t="s">
        <v>2354</v>
      </c>
      <c r="I25" s="2684" t="s">
        <v>375</v>
      </c>
      <c r="J25" s="692">
        <f ca="1">J5-J16</f>
        <v>0</v>
      </c>
      <c r="K25" s="2685" t="s">
        <v>376</v>
      </c>
      <c r="L25" s="2686"/>
      <c r="M25" s="2687"/>
    </row>
    <row r="26" spans="1:37" ht="18" customHeight="1">
      <c r="A26" s="2439" t="s">
        <v>2371</v>
      </c>
      <c r="B26" s="684" t="s">
        <v>2528</v>
      </c>
      <c r="C26" s="313">
        <f ca="1">ROUND((C19+C20)*F26,0)</f>
        <v>0</v>
      </c>
      <c r="D26" s="709" t="s">
        <v>955</v>
      </c>
      <c r="E26" s="695" t="s">
        <v>956</v>
      </c>
      <c r="F26" s="694">
        <f ca="1">INDIRECT("'数据-取费表'!q"&amp;$G$1)</f>
        <v>0</v>
      </c>
      <c r="G26" s="2289"/>
      <c r="H26" s="681" t="s">
        <v>2357</v>
      </c>
      <c r="I26" s="682" t="s">
        <v>957</v>
      </c>
      <c r="J26" s="683">
        <f ca="1">IF(J5&lt;&gt;0,ROUND(J25*(1-((1+M28)/(1+M26))^M27)/(M26-M28),0),0)</f>
        <v>0</v>
      </c>
      <c r="K26" s="710" t="s">
        <v>371</v>
      </c>
      <c r="L26" s="684" t="s">
        <v>372</v>
      </c>
      <c r="M26" s="694">
        <f ca="1">INDIRECT("'数据-取费表'!I"&amp;$G$1)</f>
        <v>0</v>
      </c>
    </row>
    <row r="27" spans="1:37" ht="18" customHeight="1">
      <c r="A27" s="2439" t="s">
        <v>2377</v>
      </c>
      <c r="B27" s="684" t="s">
        <v>373</v>
      </c>
      <c r="C27" s="313">
        <f ca="1">ROUND(F21*F26,4)</f>
        <v>0</v>
      </c>
      <c r="D27" s="709" t="s">
        <v>959</v>
      </c>
      <c r="E27" s="704"/>
      <c r="F27" s="705"/>
      <c r="G27" s="2289"/>
      <c r="H27" s="686"/>
      <c r="I27" s="687"/>
      <c r="J27" s="688"/>
      <c r="K27" s="718" t="s">
        <v>960</v>
      </c>
      <c r="L27" s="684" t="s">
        <v>379</v>
      </c>
      <c r="M27" s="719">
        <f ca="1">INDIRECT("'数据-取费表'!ag"&amp;$G$1)</f>
        <v>0</v>
      </c>
    </row>
    <row r="28" spans="1:37" s="706" customFormat="1" ht="18" customHeight="1">
      <c r="A28" s="2439" t="s">
        <v>2379</v>
      </c>
      <c r="B28" s="684" t="s">
        <v>374</v>
      </c>
      <c r="C28" s="313">
        <f>ROUND(F28/(1+'数据-取费表'!C42),4)</f>
        <v>5.0999999999999997E-2</v>
      </c>
      <c r="D28" s="709" t="s">
        <v>966</v>
      </c>
      <c r="E28" s="684" t="s">
        <v>363</v>
      </c>
      <c r="F28" s="707">
        <f>'数据-取费表'!B41</f>
        <v>5.3500000000000006E-2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2380</v>
      </c>
      <c r="B29" s="2680" t="s">
        <v>968</v>
      </c>
      <c r="C29" s="2681">
        <f ca="1">ROUND((C19+C20+C23+C26)/(1-F21-C24-C27-C28),0)</f>
        <v>0</v>
      </c>
      <c r="D29" s="2682"/>
      <c r="E29" s="2680"/>
      <c r="F29" s="2683"/>
      <c r="G29" s="2290"/>
      <c r="H29" s="720" t="s">
        <v>2364</v>
      </c>
      <c r="I29" s="721" t="s">
        <v>961</v>
      </c>
      <c r="J29" s="722">
        <f ca="1">ROUND(J26/(1+F40)^F41,0)</f>
        <v>0</v>
      </c>
      <c r="K29" s="723" t="s">
        <v>962</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2339</v>
      </c>
      <c r="B30" s="2668" t="s">
        <v>926</v>
      </c>
      <c r="C30" s="692">
        <f ca="1">ROUND(C31+C36+C37+C38,0)</f>
        <v>0</v>
      </c>
      <c r="D30" s="2677" t="s">
        <v>927</v>
      </c>
      <c r="E30" s="2678"/>
      <c r="F30" s="2629"/>
      <c r="G30" s="2289"/>
      <c r="H30" s="1278"/>
      <c r="I30" s="1279"/>
      <c r="J30" s="1280"/>
      <c r="K30" s="1281"/>
      <c r="L30" s="1282"/>
      <c r="M30" s="1283"/>
    </row>
    <row r="31" spans="1:37" ht="18" customHeight="1">
      <c r="A31" s="2439" t="s">
        <v>2374</v>
      </c>
      <c r="B31" s="684" t="s">
        <v>361</v>
      </c>
      <c r="C31" s="313">
        <f ca="1">ROUND(IF(项目基本情况!B11="自然人",C5*F31,C32+C33+C34),0)</f>
        <v>0</v>
      </c>
      <c r="D31" s="2720" t="s">
        <v>930</v>
      </c>
      <c r="E31" s="2721" t="s">
        <v>969</v>
      </c>
      <c r="F31" s="708">
        <f ca="1">IF(项目基本情况!B11="企业","",IF(INDIRECT("'数据-取费表'!c"&amp;$G$1)="住宅",5%,IF(F6*F7*F8/12/(1+'数据-取费表'!C42)&gt;20000,12%,7%)))</f>
        <v>7.0000000000000007E-2</v>
      </c>
      <c r="G31" s="2289"/>
      <c r="H31" s="1278"/>
      <c r="I31" s="1279"/>
      <c r="J31" s="1280"/>
      <c r="K31" s="1281"/>
      <c r="L31" s="1282"/>
      <c r="M31" s="1283"/>
    </row>
    <row r="32" spans="1:37" ht="18" customHeight="1">
      <c r="A32" s="2439" t="s">
        <v>2371</v>
      </c>
      <c r="B32" s="684" t="s">
        <v>932</v>
      </c>
      <c r="C32" s="313" t="str">
        <f>IF(项目基本情况!B11="自然人","——",ROUND(C5*F32/(1+'数据-取费表'!C42),0))</f>
        <v>——</v>
      </c>
      <c r="D32" s="2721" t="s">
        <v>933</v>
      </c>
      <c r="E32" s="684" t="s">
        <v>363</v>
      </c>
      <c r="F32" s="717">
        <f>'数据-取费表'!B41</f>
        <v>5.3500000000000006E-2</v>
      </c>
      <c r="G32" s="2289"/>
      <c r="H32" s="1284"/>
      <c r="I32" s="1285"/>
      <c r="J32" s="1286"/>
      <c r="K32" s="1287"/>
      <c r="L32" s="1288"/>
      <c r="M32" s="1289"/>
    </row>
    <row r="33" spans="1:18" ht="18" customHeight="1">
      <c r="A33" s="2439" t="s">
        <v>2607</v>
      </c>
      <c r="B33" s="684" t="s">
        <v>935</v>
      </c>
      <c r="C33" s="313" t="str">
        <f ca="1">IF(项目基本情况!B11="自然人","——",IF(D33="按租金收入计税",ROUND(C5*F33,0),IF(D33="按房产原值计税",ROUND(C29*F33*0.7,0),INDIRECT("'数据-取费表'!Aj"&amp;$G$1))))</f>
        <v>——</v>
      </c>
      <c r="D33" s="1301" t="s">
        <v>2414</v>
      </c>
      <c r="E33" s="684" t="s">
        <v>363</v>
      </c>
      <c r="F33" s="707">
        <f>IF(D33="按票据","——",IF(D33="按租金收入计税",'数据-取费表'!B51,'数据-取费表'!B50))</f>
        <v>1.2E-2</v>
      </c>
      <c r="G33" s="2289"/>
      <c r="H33" s="1290"/>
      <c r="I33" s="2882"/>
      <c r="J33" s="2883"/>
      <c r="K33" s="1291"/>
      <c r="L33" s="1290"/>
      <c r="M33" s="1290"/>
    </row>
    <row r="34" spans="1:18" ht="18" customHeight="1">
      <c r="A34" s="2623" t="s">
        <v>2608</v>
      </c>
      <c r="B34" s="496" t="s">
        <v>937</v>
      </c>
      <c r="C34" s="314" t="str">
        <f>IF(项目基本情况!B11="自然人","——",ROUND(F34*F35,))</f>
        <v>——</v>
      </c>
      <c r="D34" s="710" t="s">
        <v>938</v>
      </c>
      <c r="E34" s="684" t="s">
        <v>939</v>
      </c>
      <c r="F34" s="711">
        <f>'数据-取费表'!B52</f>
        <v>12</v>
      </c>
      <c r="G34" s="2289"/>
      <c r="H34" s="1278"/>
      <c r="I34" s="2882"/>
      <c r="J34" s="2883"/>
      <c r="K34" s="1292"/>
      <c r="L34" s="1293"/>
      <c r="M34" s="1293"/>
    </row>
    <row r="35" spans="1:18" ht="18" customHeight="1">
      <c r="A35" s="2697"/>
      <c r="B35" s="2695"/>
      <c r="C35" s="318"/>
      <c r="D35" s="713"/>
      <c r="E35" s="684" t="s">
        <v>943</v>
      </c>
      <c r="F35" s="685">
        <f ca="1">INDIRECT("'数据-取费表'!r"&amp;$G$1)</f>
        <v>0</v>
      </c>
      <c r="G35" s="2289"/>
      <c r="H35" s="1278"/>
      <c r="I35" s="2882"/>
      <c r="J35" s="2883"/>
      <c r="K35" s="1291"/>
      <c r="L35" s="1290"/>
      <c r="M35" s="1290"/>
    </row>
    <row r="36" spans="1:18" ht="18" customHeight="1">
      <c r="A36" s="2696" t="s">
        <v>2381</v>
      </c>
      <c r="B36" s="684" t="s">
        <v>945</v>
      </c>
      <c r="C36" s="313">
        <f ca="1">ROUND(C29*F36,0)</f>
        <v>0</v>
      </c>
      <c r="D36" s="2721" t="s">
        <v>975</v>
      </c>
      <c r="E36" s="684" t="s">
        <v>363</v>
      </c>
      <c r="F36" s="714">
        <f ca="1">INDIRECT("'数据-取费表'!Ak"&amp;$G$1)</f>
        <v>0</v>
      </c>
      <c r="G36" s="2289"/>
      <c r="H36" s="1290"/>
      <c r="I36" s="2882"/>
      <c r="J36" s="2883"/>
      <c r="K36" s="1294"/>
      <c r="L36" s="1290"/>
      <c r="M36" s="1290"/>
    </row>
    <row r="37" spans="1:18" ht="18" customHeight="1">
      <c r="A37" s="2439" t="s">
        <v>2612</v>
      </c>
      <c r="B37" s="684" t="s">
        <v>366</v>
      </c>
      <c r="C37" s="313">
        <f ca="1">ROUND(C13*F37,0)</f>
        <v>0</v>
      </c>
      <c r="D37" s="2721" t="s">
        <v>367</v>
      </c>
      <c r="E37" s="684" t="s">
        <v>363</v>
      </c>
      <c r="F37" s="716">
        <f ca="1">INDIRECT("'数据-取费表'!Al"&amp;$G$1)</f>
        <v>0</v>
      </c>
      <c r="G37" s="2289"/>
      <c r="H37" s="1290"/>
      <c r="I37" s="2882"/>
      <c r="J37" s="2883"/>
      <c r="K37" s="1294"/>
      <c r="L37" s="1290"/>
      <c r="M37" s="1290"/>
    </row>
    <row r="38" spans="1:18" ht="18" customHeight="1" thickBot="1">
      <c r="A38" s="2679" t="s">
        <v>2613</v>
      </c>
      <c r="B38" s="2680" t="s">
        <v>365</v>
      </c>
      <c r="C38" s="2681">
        <f ca="1">ROUND(C5*F38,1)</f>
        <v>0</v>
      </c>
      <c r="D38" s="2682" t="s">
        <v>369</v>
      </c>
      <c r="E38" s="2680" t="s">
        <v>363</v>
      </c>
      <c r="F38" s="2676">
        <f ca="1">INDIRECT("'数据-取费表'!Am"&amp;$G$1)</f>
        <v>0</v>
      </c>
      <c r="G38" s="2289"/>
      <c r="H38" s="1290"/>
      <c r="I38" s="2882"/>
      <c r="J38" s="2883"/>
      <c r="K38" s="1295"/>
      <c r="L38" s="1290"/>
      <c r="M38" s="1290"/>
    </row>
    <row r="39" spans="1:18" ht="24.6" customHeight="1" thickTop="1">
      <c r="A39" s="2667" t="s">
        <v>2354</v>
      </c>
      <c r="B39" s="2684" t="s">
        <v>375</v>
      </c>
      <c r="C39" s="692">
        <f ca="1">C5-C30</f>
        <v>0</v>
      </c>
      <c r="D39" s="2685" t="s">
        <v>376</v>
      </c>
      <c r="E39" s="2686"/>
      <c r="F39" s="2687"/>
      <c r="G39" s="2289"/>
      <c r="H39" s="1290"/>
      <c r="I39" s="2882"/>
      <c r="J39" s="2883"/>
      <c r="K39" s="1295"/>
      <c r="L39" s="1290"/>
      <c r="M39" s="1290"/>
    </row>
    <row r="40" spans="1:18" ht="18" customHeight="1">
      <c r="A40" s="681" t="s">
        <v>2357</v>
      </c>
      <c r="B40" s="682" t="s">
        <v>377</v>
      </c>
      <c r="C40" s="683" t="e">
        <f ca="1">ROUND(C39*(1-((1+F42)/(1+F40))^F41)/(F40-F42),0)</f>
        <v>#DIV/0!</v>
      </c>
      <c r="D40" s="710" t="s">
        <v>371</v>
      </c>
      <c r="E40" s="684" t="s">
        <v>372</v>
      </c>
      <c r="F40" s="694">
        <f ca="1">INDIRECT("'数据-取费表'!I"&amp;$G$1)</f>
        <v>0</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380</v>
      </c>
      <c r="F42" s="694">
        <f ca="1">INDIRECT("'数据-取费表'!v"&amp;$G$1)</f>
        <v>0</v>
      </c>
      <c r="G42" s="2289"/>
      <c r="H42" s="1192"/>
      <c r="I42" s="2882"/>
      <c r="J42" s="2883"/>
      <c r="K42" s="1294"/>
      <c r="L42" s="1192"/>
      <c r="M42" s="1192"/>
    </row>
    <row r="43" spans="1:18" ht="18" customHeight="1" thickBot="1">
      <c r="A43" s="720" t="s">
        <v>2364</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2623</v>
      </c>
      <c r="E45" s="1433"/>
      <c r="F45" s="1433"/>
      <c r="O45" s="2592" t="s">
        <v>2487</v>
      </c>
      <c r="P45" s="1296"/>
      <c r="Q45" s="1296"/>
      <c r="R45" s="1296"/>
    </row>
    <row r="46" spans="1:18" s="1455" customFormat="1" ht="21" thickBot="1">
      <c r="A46" s="2397" t="s">
        <v>2326</v>
      </c>
      <c r="B46" s="2398"/>
      <c r="C46" s="2726" t="e">
        <f ca="1">ROUND(C45/10000,0)</f>
        <v>#DIV/0!</v>
      </c>
      <c r="D46" s="2727" t="str">
        <f>C2</f>
        <v>万元</v>
      </c>
      <c r="I46" s="2579" t="s">
        <v>2422</v>
      </c>
      <c r="J46" s="2580"/>
      <c r="K46" s="2581"/>
      <c r="L46" s="2583" t="e">
        <f ca="1">IF(M47="住宅",0,IF(L48&gt;J51,L60,J60))</f>
        <v>#DIV/0!</v>
      </c>
      <c r="O46" s="2595" t="s">
        <v>2465</v>
      </c>
      <c r="P46" s="2596" t="s">
        <v>2466</v>
      </c>
      <c r="Q46" s="2597" t="s">
        <v>2464</v>
      </c>
      <c r="R46" s="2597" t="s">
        <v>2467</v>
      </c>
    </row>
    <row r="47" spans="1:18" s="1455" customFormat="1" ht="15.75" thickBot="1">
      <c r="A47" s="2399" t="s">
        <v>910</v>
      </c>
      <c r="B47" s="2435" t="s">
        <v>911</v>
      </c>
      <c r="C47" s="2435" t="s">
        <v>912</v>
      </c>
      <c r="D47" s="2435" t="s">
        <v>913</v>
      </c>
      <c r="E47" s="2538" t="s">
        <v>914</v>
      </c>
      <c r="F47" s="2539"/>
      <c r="G47" s="1457"/>
      <c r="I47" s="2554" t="s">
        <v>2415</v>
      </c>
      <c r="J47" s="2555"/>
      <c r="K47" s="2564" t="s">
        <v>2438</v>
      </c>
      <c r="L47" s="2565">
        <f ca="1">INDIRECT("'数据-取费表'!d"&amp;$G$1)</f>
        <v>40</v>
      </c>
      <c r="M47" s="2585" t="str">
        <f>IF(ISNUMBER(FIND("住宅",C1)),"住宅","非住宅")</f>
        <v>非住宅</v>
      </c>
      <c r="O47" s="2588" t="s">
        <v>2450</v>
      </c>
      <c r="P47" s="2598" t="s">
        <v>2468</v>
      </c>
      <c r="Q47" s="2589" t="e">
        <f ca="1">C40+J29</f>
        <v>#DIV/0!</v>
      </c>
      <c r="R47" s="2589" t="s">
        <v>2469</v>
      </c>
    </row>
    <row r="48" spans="1:18" s="1455" customFormat="1" ht="47.25" thickBot="1">
      <c r="A48" s="2712" t="s">
        <v>2618</v>
      </c>
      <c r="B48" s="682" t="s">
        <v>2333</v>
      </c>
      <c r="C48" s="2722">
        <f ca="1">C49+C53+C55</f>
        <v>0</v>
      </c>
      <c r="D48" s="2716"/>
      <c r="E48" s="2717"/>
      <c r="F48" s="2419"/>
      <c r="G48" s="1457"/>
      <c r="H48" s="1458"/>
      <c r="I48" s="2545" t="s">
        <v>2416</v>
      </c>
      <c r="J48" s="2556"/>
      <c r="K48" s="2566" t="s">
        <v>679</v>
      </c>
      <c r="L48" s="2169">
        <f ca="1">INDIRECT("'数据-取费表'!f"&amp;$G$1)</f>
        <v>24.01</v>
      </c>
      <c r="O48" s="2588" t="s">
        <v>2451</v>
      </c>
      <c r="P48" s="2598" t="s">
        <v>2470</v>
      </c>
      <c r="Q48" s="2589" t="str">
        <f ca="1">J60</f>
        <v>0</v>
      </c>
      <c r="R48" s="2589" t="s">
        <v>2478</v>
      </c>
    </row>
    <row r="49" spans="1:18" s="1455" customFormat="1" ht="15.75" thickBot="1">
      <c r="A49" s="2432" t="s">
        <v>2619</v>
      </c>
      <c r="B49" s="2715" t="s">
        <v>2621</v>
      </c>
      <c r="C49" s="2724">
        <f ca="1">ROUND(F49*F51*F50*(1-F52),0)</f>
        <v>0</v>
      </c>
      <c r="D49" s="2534" t="s">
        <v>2334</v>
      </c>
      <c r="E49" s="2537" t="s">
        <v>2327</v>
      </c>
      <c r="F49" s="2540"/>
      <c r="G49" s="1459"/>
      <c r="H49" s="1458"/>
      <c r="I49" s="2545" t="s">
        <v>2436</v>
      </c>
      <c r="J49" s="2557"/>
      <c r="K49" s="2567" t="s">
        <v>2441</v>
      </c>
      <c r="L49" s="2568"/>
      <c r="O49" s="2590" t="s">
        <v>2452</v>
      </c>
      <c r="P49" s="2598" t="s">
        <v>2471</v>
      </c>
      <c r="Q49" s="2589">
        <f ca="1">C29</f>
        <v>0</v>
      </c>
      <c r="R49" s="2589" t="s">
        <v>2469</v>
      </c>
    </row>
    <row r="50" spans="1:18" s="1455" customFormat="1" ht="15.75" thickBot="1">
      <c r="A50" s="2433"/>
      <c r="B50" s="2436"/>
      <c r="C50" s="2437"/>
      <c r="D50" s="2406"/>
      <c r="E50" s="2535" t="s">
        <v>916</v>
      </c>
      <c r="F50" s="2536">
        <f ca="1">F7</f>
        <v>0</v>
      </c>
      <c r="H50" s="1458"/>
      <c r="I50" s="2545" t="s">
        <v>2418</v>
      </c>
      <c r="J50" s="2558">
        <f>SUMPRODUCT((I63:I65=J47)*(J62:L62=J48)*(J63:L65))</f>
        <v>0</v>
      </c>
      <c r="K50" s="2567" t="s">
        <v>2442</v>
      </c>
      <c r="L50" s="2568"/>
      <c r="M50" s="2562"/>
      <c r="O50" s="2590" t="s">
        <v>2453</v>
      </c>
      <c r="P50" s="2598" t="s">
        <v>2479</v>
      </c>
      <c r="Q50" s="2591" t="e">
        <f ca="1">J58</f>
        <v>#VALUE!</v>
      </c>
      <c r="R50" s="2589"/>
    </row>
    <row r="51" spans="1:18" s="1455" customFormat="1" ht="15.75" thickBot="1">
      <c r="A51" s="2434"/>
      <c r="B51" s="2436"/>
      <c r="C51" s="2437"/>
      <c r="D51" s="2406"/>
      <c r="E51" s="2438" t="s">
        <v>917</v>
      </c>
      <c r="F51" s="685">
        <f ca="1">F8</f>
        <v>0</v>
      </c>
      <c r="I51" s="2559" t="s">
        <v>2423</v>
      </c>
      <c r="J51" s="2560">
        <f>IF(J49="",J50,J49+J50-YEAR('数据-取费表'!B2))</f>
        <v>0</v>
      </c>
      <c r="K51" s="2569" t="s">
        <v>2443</v>
      </c>
      <c r="L51" s="2582">
        <f ca="1">ROUND(-PV(INDIRECT("'数据-取费表'!h"&amp;$G$1),L48,(C39-C13*C76),0),0)</f>
        <v>0</v>
      </c>
      <c r="M51" s="2563"/>
      <c r="O51" s="2590" t="s">
        <v>2454</v>
      </c>
      <c r="P51" s="2598" t="s">
        <v>2480</v>
      </c>
      <c r="Q51" s="2591">
        <f>J52</f>
        <v>0</v>
      </c>
      <c r="R51" s="2589"/>
    </row>
    <row r="52" spans="1:18" s="1455" customFormat="1" ht="15.75" thickBot="1">
      <c r="A52" s="2434"/>
      <c r="B52" s="2436"/>
      <c r="C52" s="2437"/>
      <c r="D52" s="2406"/>
      <c r="E52" s="2438" t="s">
        <v>918</v>
      </c>
      <c r="F52" s="2533"/>
      <c r="I52" s="2561" t="s">
        <v>2446</v>
      </c>
      <c r="J52" s="2575"/>
      <c r="K52" s="2561" t="s">
        <v>2431</v>
      </c>
      <c r="L52" s="2575"/>
      <c r="M52" s="2398"/>
      <c r="O52" s="2590" t="s">
        <v>2455</v>
      </c>
      <c r="P52" s="2598" t="s">
        <v>2472</v>
      </c>
      <c r="Q52" s="2589">
        <f ca="1">J53</f>
        <v>0</v>
      </c>
      <c r="R52" s="2589" t="s">
        <v>2473</v>
      </c>
    </row>
    <row r="53" spans="1:18" s="1455" customFormat="1" ht="43.5" thickBot="1">
      <c r="A53" s="2713" t="s">
        <v>2620</v>
      </c>
      <c r="B53" s="2714" t="s">
        <v>2530</v>
      </c>
      <c r="C53" s="698">
        <f ca="1">ROUND(IF(F53="押一",F49*F51*F50/12*F11,IF(F53="押二",F49*F51*F50/12*2*F11,IF(F53="押三",F49*F51*F50/12*3*F11,C54*F11))),0)</f>
        <v>0</v>
      </c>
      <c r="D53" s="2635" t="s">
        <v>2538</v>
      </c>
      <c r="E53" s="2098" t="s">
        <v>2532</v>
      </c>
      <c r="F53" s="2829"/>
      <c r="I53" s="2571" t="s">
        <v>2448</v>
      </c>
      <c r="J53" s="2572">
        <f ca="1">IF(M47="住宅",J51,MIN(J51,L48))</f>
        <v>0</v>
      </c>
      <c r="K53" s="3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1"/>
      <c r="O53" s="2588" t="s">
        <v>2456</v>
      </c>
      <c r="P53" s="2598" t="s">
        <v>2474</v>
      </c>
      <c r="Q53" s="2589" t="e">
        <f ca="1">Q47+Q48</f>
        <v>#DIV/0!</v>
      </c>
      <c r="R53" s="2589" t="s">
        <v>2457</v>
      </c>
    </row>
    <row r="54" spans="1:18" s="1455" customFormat="1" ht="16.5" thickBot="1">
      <c r="A54" s="2432"/>
      <c r="B54" s="2826" t="s">
        <v>2694</v>
      </c>
      <c r="C54" s="2416"/>
      <c r="D54" s="2635"/>
      <c r="E54" s="2779"/>
      <c r="F54" s="2541"/>
      <c r="I54" s="2413"/>
      <c r="J54" s="2570"/>
      <c r="K54" s="2570"/>
      <c r="L54" s="2570"/>
      <c r="M54" s="1459"/>
      <c r="O54" s="2592" t="s">
        <v>2481</v>
      </c>
      <c r="P54" s="1296"/>
      <c r="Q54" s="1296"/>
      <c r="R54" s="1296"/>
    </row>
    <row r="55" spans="1:18" s="1455" customFormat="1" ht="15.75" thickBot="1">
      <c r="A55" s="2671" t="s">
        <v>2543</v>
      </c>
      <c r="B55" s="2672" t="s">
        <v>2531</v>
      </c>
      <c r="C55" s="2673"/>
      <c r="D55" s="2635"/>
      <c r="E55" s="2718"/>
      <c r="F55" s="2541"/>
      <c r="I55" s="3319" t="s">
        <v>2424</v>
      </c>
      <c r="J55" s="3318" t="e">
        <f ca="1">ROUND(IF(J47="钢混",J57/J50,1-(1-2%)*(J50-J57)/J50),3)</f>
        <v>#VALUE!</v>
      </c>
      <c r="K55" s="2552" t="s">
        <v>2425</v>
      </c>
      <c r="L55" s="2574"/>
      <c r="O55" s="2595" t="s">
        <v>2465</v>
      </c>
      <c r="P55" s="2596" t="s">
        <v>2466</v>
      </c>
      <c r="Q55" s="2597" t="s">
        <v>2464</v>
      </c>
      <c r="R55" s="2597" t="s">
        <v>2467</v>
      </c>
    </row>
    <row r="56" spans="1:18" s="1455" customFormat="1" ht="44.25" thickTop="1" thickBot="1">
      <c r="A56" s="2410">
        <v>2</v>
      </c>
      <c r="B56" s="2411" t="s">
        <v>919</v>
      </c>
      <c r="C56" s="608">
        <f ca="1">C13</f>
        <v>0</v>
      </c>
      <c r="D56" s="2699"/>
      <c r="E56" s="2412"/>
      <c r="F56" s="2541"/>
      <c r="I56" s="2544" t="s">
        <v>2426</v>
      </c>
      <c r="J56" s="2573"/>
      <c r="K56" s="2545" t="s">
        <v>2430</v>
      </c>
      <c r="L56" s="2169">
        <f ca="1">IF(L48&lt;J51,"——",L48-J51)</f>
        <v>24.01</v>
      </c>
      <c r="O56" s="2588" t="s">
        <v>2450</v>
      </c>
      <c r="P56" s="2598" t="s">
        <v>2468</v>
      </c>
      <c r="Q56" s="2589" t="e">
        <f ca="1">C40+J29</f>
        <v>#DIV/0!</v>
      </c>
      <c r="R56" s="2589" t="s">
        <v>2469</v>
      </c>
    </row>
    <row r="57" spans="1:18" s="1455" customFormat="1" ht="29.25" thickBot="1">
      <c r="A57" s="2542"/>
      <c r="B57" s="2403" t="s">
        <v>968</v>
      </c>
      <c r="C57" s="614">
        <f ca="1">C29</f>
        <v>0</v>
      </c>
      <c r="D57" s="2414"/>
      <c r="E57" s="2415"/>
      <c r="F57" s="2543"/>
      <c r="I57" s="2546" t="s">
        <v>2447</v>
      </c>
      <c r="J57" s="2550" t="str">
        <f ca="1">IF(OR(M47="住宅",J51&lt;L48,J56="是"),"——",J51-L48)</f>
        <v>——</v>
      </c>
      <c r="K57" s="2545" t="s">
        <v>2440</v>
      </c>
      <c r="L57" s="2169">
        <f ca="1">IF(L48&lt;J51,"——",IF(L55="比较法",L49,IF(L55="基准地价",L50,L51)))</f>
        <v>0</v>
      </c>
      <c r="O57" s="2588" t="s">
        <v>2451</v>
      </c>
      <c r="P57" s="2598" t="s">
        <v>2475</v>
      </c>
      <c r="Q57" s="2589" t="e">
        <f ca="1">L60</f>
        <v>#DIV/0!</v>
      </c>
      <c r="R57" s="2589" t="s">
        <v>2490</v>
      </c>
    </row>
    <row r="58" spans="1:18" s="1455" customFormat="1" ht="29.25" thickBot="1">
      <c r="A58" s="697" t="s">
        <v>2339</v>
      </c>
      <c r="B58" s="2411" t="s">
        <v>926</v>
      </c>
      <c r="C58" s="698">
        <f ca="1">ROUND(C59+C64+C65+C66,0)</f>
        <v>0</v>
      </c>
      <c r="D58" s="2417" t="s">
        <v>927</v>
      </c>
      <c r="E58" s="2418"/>
      <c r="F58" s="2419"/>
      <c r="I58" s="2546" t="s">
        <v>2427</v>
      </c>
      <c r="J58" s="3320" t="e">
        <f ca="1">IF(J55&lt;0.4,0.4,J55)</f>
        <v>#VALUE!</v>
      </c>
      <c r="K58" s="2569" t="s">
        <v>2449</v>
      </c>
      <c r="L58" s="2169">
        <f ca="1">IF(ISERROR(POWER(1+L52,L47-L48)*(POWER(1+L52,L48)-1)/(POWER(1+L52,L47)-1)),0,POWER(1+L52,L47-L48)*(POWER(1+L52,L48)-1)/(POWER(1+L52,L47)-1))</f>
        <v>0</v>
      </c>
      <c r="O58" s="2590" t="s">
        <v>2452</v>
      </c>
      <c r="P58" s="2598" t="s">
        <v>2482</v>
      </c>
      <c r="Q58" s="2589">
        <f>IF(L55="比较法",L49,IF(L55="基准地价",L50,0))</f>
        <v>0</v>
      </c>
      <c r="R58" s="2589" t="s">
        <v>2469</v>
      </c>
    </row>
    <row r="59" spans="1:18" s="1455" customFormat="1" ht="29.25" thickBot="1">
      <c r="A59" s="2439" t="s">
        <v>2374</v>
      </c>
      <c r="B59" s="2403" t="s">
        <v>361</v>
      </c>
      <c r="C59" s="313">
        <f ca="1">ROUND(IF(项目基本情况!B11="自然人",C48*F59,C60+C61+C62),0)</f>
        <v>0</v>
      </c>
      <c r="D59" s="2420" t="s">
        <v>930</v>
      </c>
      <c r="E59" s="2421" t="s">
        <v>931</v>
      </c>
      <c r="F59" s="708">
        <f ca="1">IF(项目基本情况!B11="企业","",IF(INDIRECT("'数据-取费表'!c"&amp;$G$1)="住宅",5%,IF(F49*F50*F51/12/(1+'数据-取费表'!C42)&gt;20000,12%,7%)))</f>
        <v>7.0000000000000007E-2</v>
      </c>
      <c r="I59" s="2546" t="s">
        <v>2428</v>
      </c>
      <c r="J59" s="2550" t="str">
        <f ca="1">IF(OR(M47="住宅",J51&lt;L48,J56="是"),"——",ROUND(C29*J58,0))</f>
        <v>——</v>
      </c>
      <c r="K59" s="2569" t="s">
        <v>2437</v>
      </c>
      <c r="L59" s="2169">
        <f ca="1">IF(ISERROR(POWER(1+L52,L47-J51)*(POWER(1+L52,J51)-1)/(POWER(1+L52,L47)-1)),0,POWER(1+L52,L47-J51)*(POWER(1+L52,J51)-1)/(POWER(1+L52,L47)-1))</f>
        <v>0</v>
      </c>
      <c r="O59" s="2590" t="s">
        <v>2453</v>
      </c>
      <c r="P59" s="2598" t="s">
        <v>2483</v>
      </c>
      <c r="Q59" s="2591">
        <f>L52</f>
        <v>0</v>
      </c>
      <c r="R59" s="2589"/>
    </row>
    <row r="60" spans="1:18" s="1455" customFormat="1" ht="20.25" thickBot="1">
      <c r="A60" s="2439" t="s">
        <v>2371</v>
      </c>
      <c r="B60" s="2403" t="s">
        <v>932</v>
      </c>
      <c r="C60" s="313" t="str">
        <f>IF(项目基本情况!B11="自然人","——",ROUND(C48*F60/(1+'数据-取费表'!C42),0))</f>
        <v>——</v>
      </c>
      <c r="D60" s="2421" t="s">
        <v>933</v>
      </c>
      <c r="E60" s="2403" t="s">
        <v>363</v>
      </c>
      <c r="F60" s="717">
        <f t="shared" ref="F60:F66" si="0">F32</f>
        <v>5.3500000000000006E-2</v>
      </c>
      <c r="I60" s="2547" t="s">
        <v>2429</v>
      </c>
      <c r="J60" s="2551" t="str">
        <f ca="1">IF(OR(M47="住宅",J51&lt;L48,J56="是"),"0",ROUND(J59/(1+J52)^J53,0))</f>
        <v>0</v>
      </c>
      <c r="K60" s="2553" t="s">
        <v>2432</v>
      </c>
      <c r="L60" s="2551" t="e">
        <f ca="1">IF(OR(M47="住宅",L48&lt;J51),0,ROUND(L57*(L58/L59-1),0))</f>
        <v>#DIV/0!</v>
      </c>
      <c r="O60" s="2590" t="s">
        <v>2454</v>
      </c>
      <c r="P60" s="2598" t="s">
        <v>2484</v>
      </c>
      <c r="Q60" s="2589">
        <f ca="1">L58</f>
        <v>0</v>
      </c>
      <c r="R60" s="2589" t="s">
        <v>2459</v>
      </c>
    </row>
    <row r="61" spans="1:18" s="1455" customFormat="1" ht="20.25" thickBot="1">
      <c r="A61" s="2439" t="s">
        <v>2372</v>
      </c>
      <c r="B61" s="2403" t="s">
        <v>935</v>
      </c>
      <c r="C61" s="313" t="str">
        <f ca="1">IF(项目基本情况!B11="自然人","——",IF(D61="按租金收入计税",ROUND(C48*F61,0),IF(D61="按房产原值计税",ROUND(C57*F61*0.7,0),INDIRECT("'数据-取费表'!Aj"&amp;$G$1))))</f>
        <v>——</v>
      </c>
      <c r="D61" s="1301" t="s">
        <v>2414</v>
      </c>
      <c r="E61" s="2403" t="s">
        <v>363</v>
      </c>
      <c r="F61" s="707">
        <f t="shared" si="0"/>
        <v>1.2E-2</v>
      </c>
      <c r="I61" s="2413"/>
      <c r="J61" s="2413"/>
      <c r="K61" s="2413"/>
      <c r="L61" s="2413"/>
      <c r="O61" s="2590" t="s">
        <v>2455</v>
      </c>
      <c r="P61" s="2598" t="s">
        <v>2485</v>
      </c>
      <c r="Q61" s="2589">
        <f ca="1">L59</f>
        <v>0</v>
      </c>
      <c r="R61" s="2589" t="s">
        <v>2460</v>
      </c>
    </row>
    <row r="62" spans="1:18" s="1455" customFormat="1" ht="15.75" thickBot="1">
      <c r="A62" s="2439" t="s">
        <v>2373</v>
      </c>
      <c r="B62" s="2402" t="s">
        <v>937</v>
      </c>
      <c r="C62" s="314" t="str">
        <f>IF(项目基本情况!B11="自然人","——",ROUND(F62*F63,0))</f>
        <v>——</v>
      </c>
      <c r="D62" s="2422" t="s">
        <v>938</v>
      </c>
      <c r="E62" s="2403" t="s">
        <v>939</v>
      </c>
      <c r="F62" s="711">
        <f t="shared" si="0"/>
        <v>12</v>
      </c>
      <c r="I62" s="2548" t="s">
        <v>2419</v>
      </c>
      <c r="J62" s="2549" t="s">
        <v>2420</v>
      </c>
      <c r="K62" s="2549" t="s">
        <v>2421</v>
      </c>
      <c r="L62" s="2549" t="s">
        <v>2417</v>
      </c>
      <c r="M62" s="3321" t="s">
        <v>3036</v>
      </c>
      <c r="O62" s="2588" t="s">
        <v>2456</v>
      </c>
      <c r="P62" s="2598" t="s">
        <v>2474</v>
      </c>
      <c r="Q62" s="2589" t="e">
        <f ca="1">Q56+Q57</f>
        <v>#DIV/0!</v>
      </c>
      <c r="R62" s="2589" t="s">
        <v>2457</v>
      </c>
    </row>
    <row r="63" spans="1:18" s="1455" customFormat="1" ht="16.5" thickBot="1">
      <c r="A63" s="712"/>
      <c r="B63" s="2409"/>
      <c r="C63" s="318"/>
      <c r="D63" s="2423"/>
      <c r="E63" s="2403" t="s">
        <v>943</v>
      </c>
      <c r="F63" s="685">
        <f t="shared" ca="1" si="0"/>
        <v>0</v>
      </c>
      <c r="I63" s="2548" t="s">
        <v>2433</v>
      </c>
      <c r="J63" s="3324">
        <v>70</v>
      </c>
      <c r="K63" s="3324">
        <v>50</v>
      </c>
      <c r="L63" s="3324">
        <v>80</v>
      </c>
      <c r="M63" s="3322">
        <v>0.02</v>
      </c>
      <c r="O63" s="2592" t="s">
        <v>2488</v>
      </c>
      <c r="P63" s="1296"/>
      <c r="Q63" s="1296"/>
      <c r="R63" s="1296"/>
    </row>
    <row r="64" spans="1:18" s="1455" customFormat="1" ht="15.75" thickBot="1">
      <c r="A64" s="2439" t="s">
        <v>2381</v>
      </c>
      <c r="B64" s="2403" t="s">
        <v>945</v>
      </c>
      <c r="C64" s="313">
        <f ca="1">ROUND(C57*F64,0)</f>
        <v>0</v>
      </c>
      <c r="D64" s="2421" t="s">
        <v>975</v>
      </c>
      <c r="E64" s="2403" t="s">
        <v>363</v>
      </c>
      <c r="F64" s="714">
        <f t="shared" ca="1" si="0"/>
        <v>0</v>
      </c>
      <c r="I64" s="2548" t="s">
        <v>105</v>
      </c>
      <c r="J64" s="3324">
        <v>50</v>
      </c>
      <c r="K64" s="3324">
        <v>35</v>
      </c>
      <c r="L64" s="3324">
        <v>60</v>
      </c>
      <c r="M64" s="3323">
        <v>0</v>
      </c>
      <c r="O64" s="2595" t="s">
        <v>2465</v>
      </c>
      <c r="P64" s="2596" t="s">
        <v>2466</v>
      </c>
      <c r="Q64" s="2597" t="s">
        <v>2464</v>
      </c>
      <c r="R64" s="2597" t="s">
        <v>2467</v>
      </c>
    </row>
    <row r="65" spans="1:18" s="1455" customFormat="1" ht="15.75" thickBot="1">
      <c r="A65" s="2439" t="s">
        <v>2375</v>
      </c>
      <c r="B65" s="2403" t="s">
        <v>366</v>
      </c>
      <c r="C65" s="313">
        <f ca="1">ROUND(C56*F65,0)</f>
        <v>0</v>
      </c>
      <c r="D65" s="2421" t="s">
        <v>367</v>
      </c>
      <c r="E65" s="2403" t="s">
        <v>363</v>
      </c>
      <c r="F65" s="716">
        <f t="shared" ca="1" si="0"/>
        <v>0</v>
      </c>
      <c r="I65" s="2548" t="s">
        <v>2435</v>
      </c>
      <c r="J65" s="3324">
        <v>40</v>
      </c>
      <c r="K65" s="3324">
        <v>30</v>
      </c>
      <c r="L65" s="3324">
        <v>50</v>
      </c>
      <c r="M65" s="3322">
        <v>0.02</v>
      </c>
      <c r="O65" s="2588" t="s">
        <v>2450</v>
      </c>
      <c r="P65" s="2598" t="s">
        <v>2468</v>
      </c>
      <c r="Q65" s="2589" t="e">
        <f ca="1">C40+J29</f>
        <v>#DIV/0!</v>
      </c>
      <c r="R65" s="2589" t="s">
        <v>2469</v>
      </c>
    </row>
    <row r="66" spans="1:18" s="1455" customFormat="1" ht="20.25" thickBot="1">
      <c r="A66" s="2439" t="s">
        <v>2376</v>
      </c>
      <c r="B66" s="2403" t="s">
        <v>365</v>
      </c>
      <c r="C66" s="313">
        <f ca="1">ROUND(C48*F66,0)</f>
        <v>0</v>
      </c>
      <c r="D66" s="2421" t="s">
        <v>369</v>
      </c>
      <c r="E66" s="2403" t="s">
        <v>363</v>
      </c>
      <c r="F66" s="694">
        <f t="shared" ca="1" si="0"/>
        <v>0</v>
      </c>
      <c r="O66" s="2588" t="s">
        <v>2451</v>
      </c>
      <c r="P66" s="2598" t="s">
        <v>2475</v>
      </c>
      <c r="Q66" s="2589" t="e">
        <f ca="1">L60</f>
        <v>#DIV/0!</v>
      </c>
      <c r="R66" s="2589" t="s">
        <v>2458</v>
      </c>
    </row>
    <row r="67" spans="1:18" s="1455" customFormat="1" ht="24.75" thickBot="1">
      <c r="A67" s="2410" t="s">
        <v>2354</v>
      </c>
      <c r="B67" s="2424" t="s">
        <v>375</v>
      </c>
      <c r="C67" s="698">
        <f ca="1">C48-C58</f>
        <v>0</v>
      </c>
      <c r="D67" s="2420" t="s">
        <v>376</v>
      </c>
      <c r="E67" s="2425"/>
      <c r="F67" s="2426"/>
      <c r="O67" s="2590" t="s">
        <v>2452</v>
      </c>
      <c r="P67" s="2598" t="s">
        <v>2482</v>
      </c>
      <c r="Q67" s="2593">
        <f ca="1">L51</f>
        <v>0</v>
      </c>
      <c r="R67" s="2594" t="s">
        <v>2492</v>
      </c>
    </row>
    <row r="68" spans="1:18" s="1455" customFormat="1" ht="20.25" thickBot="1">
      <c r="A68" s="2400" t="s">
        <v>2357</v>
      </c>
      <c r="B68" s="2401" t="s">
        <v>377</v>
      </c>
      <c r="C68" s="683" t="e">
        <f ca="1">ROUND(C67*(1-((1+F70)/(1+F68))^F69)/(F68-F70),0)</f>
        <v>#DIV/0!</v>
      </c>
      <c r="D68" s="2422" t="s">
        <v>371</v>
      </c>
      <c r="E68" s="2403" t="s">
        <v>372</v>
      </c>
      <c r="F68" s="694">
        <f ca="1">F40</f>
        <v>0</v>
      </c>
      <c r="O68" s="2590" t="s">
        <v>2453</v>
      </c>
      <c r="P68" s="2599" t="s">
        <v>2486</v>
      </c>
      <c r="Q68" s="2589">
        <f ca="1">ROUND(Q69-Q70*Q71,0)</f>
        <v>0</v>
      </c>
      <c r="R68" s="2589" t="s">
        <v>2491</v>
      </c>
    </row>
    <row r="69" spans="1:18" s="1455" customFormat="1" ht="15.75" thickBot="1">
      <c r="A69" s="2404"/>
      <c r="B69" s="2405"/>
      <c r="C69" s="688"/>
      <c r="D69" s="2427" t="s">
        <v>960</v>
      </c>
      <c r="E69" s="2403" t="s">
        <v>379</v>
      </c>
      <c r="F69" s="719">
        <f ca="1">F41</f>
        <v>0</v>
      </c>
      <c r="O69" s="2590" t="s">
        <v>2461</v>
      </c>
      <c r="P69" s="2599" t="s">
        <v>2476</v>
      </c>
      <c r="Q69" s="2589">
        <f ca="1">C39</f>
        <v>0</v>
      </c>
      <c r="R69" s="2589" t="s">
        <v>2469</v>
      </c>
    </row>
    <row r="70" spans="1:18" s="1455" customFormat="1" ht="15.75" thickBot="1">
      <c r="A70" s="2407"/>
      <c r="B70" s="2408"/>
      <c r="C70" s="692"/>
      <c r="D70" s="2423"/>
      <c r="E70" s="2403" t="s">
        <v>380</v>
      </c>
      <c r="F70" s="2533">
        <f ca="1">F42</f>
        <v>0</v>
      </c>
      <c r="O70" s="2590" t="s">
        <v>2462</v>
      </c>
      <c r="P70" s="2599" t="s">
        <v>2477</v>
      </c>
      <c r="Q70" s="2589">
        <f ca="1">C13</f>
        <v>0</v>
      </c>
      <c r="R70" s="2589" t="s">
        <v>2469</v>
      </c>
    </row>
    <row r="71" spans="1:18" s="1455" customFormat="1" ht="15.75" thickBot="1">
      <c r="A71" s="2428" t="s">
        <v>2364</v>
      </c>
      <c r="B71" s="2429" t="s">
        <v>381</v>
      </c>
      <c r="C71" s="722" t="e">
        <f ca="1">ROUND(C68/F71,0)</f>
        <v>#DIV/0!</v>
      </c>
      <c r="D71" s="2430" t="s">
        <v>382</v>
      </c>
      <c r="E71" s="2431" t="s">
        <v>383</v>
      </c>
      <c r="F71" s="725">
        <f ca="1">F43</f>
        <v>0</v>
      </c>
      <c r="I71" s="2398"/>
      <c r="K71" s="2398"/>
      <c r="O71" s="2590" t="s">
        <v>2463</v>
      </c>
      <c r="P71" s="2599" t="s">
        <v>2489</v>
      </c>
      <c r="Q71" s="2591">
        <f ca="1">C76</f>
        <v>0</v>
      </c>
      <c r="R71" s="2589"/>
    </row>
    <row r="72" spans="1:18" s="1455" customFormat="1" ht="15.75" thickBot="1">
      <c r="B72" s="1460"/>
      <c r="C72" s="1460"/>
      <c r="I72" s="2398"/>
      <c r="O72" s="2590" t="s">
        <v>2454</v>
      </c>
      <c r="P72" s="2598" t="s">
        <v>2483</v>
      </c>
      <c r="Q72" s="2591">
        <f>L52</f>
        <v>0</v>
      </c>
      <c r="R72" s="2589"/>
    </row>
    <row r="73" spans="1:18" ht="20.25" thickBot="1">
      <c r="A73" s="1455"/>
      <c r="B73" s="1460"/>
      <c r="C73" s="1460"/>
      <c r="D73" s="1455"/>
      <c r="E73" s="1455"/>
      <c r="F73" s="1455"/>
      <c r="I73" s="2584"/>
      <c r="O73" s="2590" t="s">
        <v>2455</v>
      </c>
      <c r="P73" s="2598" t="s">
        <v>2484</v>
      </c>
      <c r="Q73" s="2589">
        <f ca="1">L58</f>
        <v>0</v>
      </c>
      <c r="R73" s="2589" t="s">
        <v>2459</v>
      </c>
    </row>
    <row r="74" spans="1:18" ht="20.25" thickBot="1">
      <c r="A74" s="1455"/>
      <c r="B74" s="727" t="s">
        <v>384</v>
      </c>
      <c r="C74" s="728"/>
      <c r="D74" s="1455"/>
      <c r="E74" s="1455"/>
      <c r="F74" s="1455"/>
      <c r="O74" s="2590" t="s">
        <v>2493</v>
      </c>
      <c r="P74" s="2598" t="s">
        <v>2485</v>
      </c>
      <c r="Q74" s="2589">
        <f ca="1">L59</f>
        <v>0</v>
      </c>
      <c r="R74" s="2589" t="s">
        <v>2460</v>
      </c>
    </row>
    <row r="75" spans="1:18" ht="15.75" thickBot="1">
      <c r="A75" s="1455"/>
      <c r="B75" s="729" t="s">
        <v>973</v>
      </c>
      <c r="C75" s="730">
        <f ca="1">ROUND(C13*C76,0)</f>
        <v>0</v>
      </c>
      <c r="D75" s="1455"/>
      <c r="E75" s="1455"/>
      <c r="F75" s="1455"/>
      <c r="K75" s="1456"/>
      <c r="L75" s="1455"/>
      <c r="O75" s="2588" t="s">
        <v>2456</v>
      </c>
      <c r="P75" s="2598" t="s">
        <v>2474</v>
      </c>
      <c r="Q75" s="2589" t="e">
        <f ca="1">Q65+Q66</f>
        <v>#DIV/0!</v>
      </c>
      <c r="R75" s="2589" t="s">
        <v>2457</v>
      </c>
    </row>
    <row r="76" spans="1:18">
      <c r="B76" s="731" t="s">
        <v>974</v>
      </c>
      <c r="C76" s="732">
        <f ca="1">INDIRECT("'数据-取费表'!j"&amp;$G$1)</f>
        <v>0</v>
      </c>
      <c r="I76" s="1455"/>
      <c r="J76" s="1455"/>
      <c r="K76" s="1456"/>
      <c r="L76" s="1455"/>
    </row>
    <row r="77" spans="1:18">
      <c r="B77" s="733" t="s">
        <v>977</v>
      </c>
      <c r="C77" s="734"/>
      <c r="I77" s="1455"/>
      <c r="J77" s="1455"/>
      <c r="K77" s="1456"/>
      <c r="L77" s="1455"/>
    </row>
    <row r="78" spans="1:18">
      <c r="B78" s="646" t="s">
        <v>963</v>
      </c>
      <c r="C78" s="735"/>
    </row>
    <row r="79" spans="1:18">
      <c r="B79" s="2874" t="s">
        <v>2701</v>
      </c>
      <c r="C79" s="650" t="e">
        <f ca="1">1-C80</f>
        <v>#DIV/0!</v>
      </c>
    </row>
    <row r="80" spans="1:18">
      <c r="B80" s="2874" t="s">
        <v>2702</v>
      </c>
      <c r="C80" s="650" t="e">
        <f ca="1">ROUND(C75/C39,3)</f>
        <v>#DIV/0!</v>
      </c>
    </row>
    <row r="81" spans="2:3">
      <c r="B81" s="646" t="s">
        <v>385</v>
      </c>
      <c r="C81" s="647"/>
    </row>
    <row r="82" spans="2:3">
      <c r="B82" s="2873" t="s">
        <v>2699</v>
      </c>
      <c r="C82" s="651" t="e">
        <f ca="1">1-C83</f>
        <v>#DIV/0!</v>
      </c>
    </row>
    <row r="83" spans="2:3">
      <c r="B83" s="2873"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1" t="s">
        <v>2547</v>
      </c>
      <c r="B1" s="3702"/>
      <c r="C1" s="3703"/>
      <c r="D1" s="3704">
        <f>SUM(I10,I15,I20,I21,I23)</f>
        <v>0</v>
      </c>
      <c r="E1" s="3704"/>
      <c r="F1" s="3704"/>
      <c r="G1" s="3704"/>
      <c r="H1" s="3704"/>
      <c r="I1" s="3705"/>
    </row>
    <row r="2" spans="1:9">
      <c r="A2" s="3691" t="s">
        <v>2548</v>
      </c>
      <c r="B2" s="3692" t="s">
        <v>2549</v>
      </c>
      <c r="C2" s="3692"/>
      <c r="D2" s="2639" t="s">
        <v>2550</v>
      </c>
      <c r="E2" s="2639" t="s">
        <v>2551</v>
      </c>
      <c r="F2" s="2639" t="s">
        <v>2552</v>
      </c>
      <c r="G2" s="2639" t="s">
        <v>2553</v>
      </c>
      <c r="H2" s="2639" t="s">
        <v>2554</v>
      </c>
      <c r="I2" s="2640" t="s">
        <v>2555</v>
      </c>
    </row>
    <row r="3" spans="1:9">
      <c r="A3" s="3691"/>
      <c r="B3" s="3692" t="s">
        <v>2556</v>
      </c>
      <c r="C3" s="3692"/>
      <c r="D3" s="2641"/>
      <c r="E3" s="2639"/>
      <c r="F3" s="2642"/>
      <c r="G3" s="2642"/>
      <c r="H3" s="2643"/>
      <c r="I3" s="2644">
        <f>ROUND(D3*E3*F3*G3*H3/10000,0)</f>
        <v>0</v>
      </c>
    </row>
    <row r="4" spans="1:9">
      <c r="A4" s="3691"/>
      <c r="B4" s="3692" t="s">
        <v>2557</v>
      </c>
      <c r="C4" s="3692"/>
      <c r="D4" s="2641"/>
      <c r="E4" s="2639"/>
      <c r="F4" s="2642"/>
      <c r="G4" s="2642"/>
      <c r="H4" s="2643"/>
      <c r="I4" s="2644">
        <f t="shared" ref="I4:I9" si="0">ROUND(D4*E4*F4*G4*H4/10000,0)</f>
        <v>0</v>
      </c>
    </row>
    <row r="5" spans="1:9">
      <c r="A5" s="3691"/>
      <c r="B5" s="3692" t="s">
        <v>2558</v>
      </c>
      <c r="C5" s="3692"/>
      <c r="D5" s="2641"/>
      <c r="E5" s="2639"/>
      <c r="F5" s="2642"/>
      <c r="G5" s="2642"/>
      <c r="H5" s="2643"/>
      <c r="I5" s="2644">
        <f t="shared" si="0"/>
        <v>0</v>
      </c>
    </row>
    <row r="6" spans="1:9">
      <c r="A6" s="3691"/>
      <c r="B6" s="3692" t="s">
        <v>2559</v>
      </c>
      <c r="C6" s="3692"/>
      <c r="D6" s="2641"/>
      <c r="E6" s="2639"/>
      <c r="F6" s="2642"/>
      <c r="G6" s="2642"/>
      <c r="H6" s="2643"/>
      <c r="I6" s="2644">
        <f t="shared" si="0"/>
        <v>0</v>
      </c>
    </row>
    <row r="7" spans="1:9">
      <c r="A7" s="3691"/>
      <c r="B7" s="3692" t="s">
        <v>2560</v>
      </c>
      <c r="C7" s="3692"/>
      <c r="D7" s="2641"/>
      <c r="E7" s="2639"/>
      <c r="F7" s="2642"/>
      <c r="G7" s="2642"/>
      <c r="H7" s="2643"/>
      <c r="I7" s="2644">
        <f t="shared" si="0"/>
        <v>0</v>
      </c>
    </row>
    <row r="8" spans="1:9">
      <c r="A8" s="3691"/>
      <c r="B8" s="3692" t="s">
        <v>2561</v>
      </c>
      <c r="C8" s="3692"/>
      <c r="D8" s="2641"/>
      <c r="E8" s="2639"/>
      <c r="F8" s="2642"/>
      <c r="G8" s="2642"/>
      <c r="H8" s="2643"/>
      <c r="I8" s="2644">
        <f t="shared" si="0"/>
        <v>0</v>
      </c>
    </row>
    <row r="9" spans="1:9">
      <c r="A9" s="3691"/>
      <c r="B9" s="3692" t="s">
        <v>2562</v>
      </c>
      <c r="C9" s="3692"/>
      <c r="D9" s="2641"/>
      <c r="E9" s="2639"/>
      <c r="F9" s="2642"/>
      <c r="G9" s="2642"/>
      <c r="H9" s="2643"/>
      <c r="I9" s="2644">
        <f t="shared" si="0"/>
        <v>0</v>
      </c>
    </row>
    <row r="10" spans="1:9">
      <c r="A10" s="3691"/>
      <c r="B10" s="3693" t="s">
        <v>2563</v>
      </c>
      <c r="C10" s="3693"/>
      <c r="D10" s="2645"/>
      <c r="E10" s="2645" t="e">
        <f>ROUND(D1*10000/D10/H9,0)</f>
        <v>#DIV/0!</v>
      </c>
      <c r="F10" s="2646"/>
      <c r="G10" s="2646"/>
      <c r="H10" s="2647"/>
      <c r="I10" s="2648">
        <f>SUM(I3:I9)</f>
        <v>0</v>
      </c>
    </row>
    <row r="11" spans="1:9" ht="14.25">
      <c r="A11" s="3691" t="s">
        <v>2564</v>
      </c>
      <c r="B11" s="3692" t="s">
        <v>2565</v>
      </c>
      <c r="C11" s="3692"/>
      <c r="D11" s="2641" t="s">
        <v>2566</v>
      </c>
      <c r="E11" s="2641" t="s">
        <v>2567</v>
      </c>
      <c r="F11" s="2642" t="s">
        <v>2568</v>
      </c>
      <c r="G11" s="2642" t="s">
        <v>2554</v>
      </c>
      <c r="H11" s="2649" t="s">
        <v>2569</v>
      </c>
      <c r="I11" s="2640" t="s">
        <v>2555</v>
      </c>
    </row>
    <row r="12" spans="1:9">
      <c r="A12" s="3691"/>
      <c r="B12" s="3692" t="s">
        <v>2570</v>
      </c>
      <c r="C12" s="3692"/>
      <c r="D12" s="2641"/>
      <c r="E12" s="2641"/>
      <c r="F12" s="2642"/>
      <c r="G12" s="2643"/>
      <c r="H12" s="2650"/>
      <c r="I12" s="2640">
        <f>ROUND(D12*E12*F12*G12/10000,0)</f>
        <v>0</v>
      </c>
    </row>
    <row r="13" spans="1:9">
      <c r="A13" s="3691"/>
      <c r="B13" s="3692" t="s">
        <v>2571</v>
      </c>
      <c r="C13" s="3692"/>
      <c r="D13" s="2641"/>
      <c r="E13" s="2641"/>
      <c r="F13" s="2642"/>
      <c r="G13" s="2643"/>
      <c r="H13" s="2650"/>
      <c r="I13" s="2640">
        <f>ROUND(D13*E13*F13*G13/10000,0)</f>
        <v>0</v>
      </c>
    </row>
    <row r="14" spans="1:9">
      <c r="A14" s="3691"/>
      <c r="B14" s="3692" t="s">
        <v>2572</v>
      </c>
      <c r="C14" s="3692"/>
      <c r="D14" s="2641"/>
      <c r="E14" s="2641"/>
      <c r="F14" s="2642"/>
      <c r="G14" s="2643"/>
      <c r="H14" s="2650"/>
      <c r="I14" s="2640">
        <f>ROUND(D14*E14*F14*G14/10000,0)</f>
        <v>0</v>
      </c>
    </row>
    <row r="15" spans="1:9">
      <c r="A15" s="3691"/>
      <c r="B15" s="3693" t="s">
        <v>2563</v>
      </c>
      <c r="C15" s="3693"/>
      <c r="D15" s="2645"/>
      <c r="E15" s="2645">
        <f>SUM(E12:E14)</f>
        <v>0</v>
      </c>
      <c r="F15" s="2646"/>
      <c r="G15" s="2643"/>
      <c r="H15" s="2650"/>
      <c r="I15" s="2651">
        <f>SUM(I12:I14)</f>
        <v>0</v>
      </c>
    </row>
    <row r="16" spans="1:9" ht="24">
      <c r="A16" s="3691" t="s">
        <v>2573</v>
      </c>
      <c r="B16" s="3692" t="s">
        <v>2574</v>
      </c>
      <c r="C16" s="3692"/>
      <c r="D16" s="2641" t="s">
        <v>2550</v>
      </c>
      <c r="E16" s="2652" t="s">
        <v>2575</v>
      </c>
      <c r="F16" s="2642" t="s">
        <v>2576</v>
      </c>
      <c r="G16" s="2643" t="s">
        <v>2554</v>
      </c>
      <c r="H16" s="2649" t="s">
        <v>2569</v>
      </c>
      <c r="I16" s="2640" t="s">
        <v>2555</v>
      </c>
    </row>
    <row r="17" spans="1:9" ht="14.25">
      <c r="A17" s="3691"/>
      <c r="B17" s="3692" t="s">
        <v>2577</v>
      </c>
      <c r="C17" s="3692"/>
      <c r="D17" s="2641"/>
      <c r="E17" s="2641"/>
      <c r="F17" s="2642"/>
      <c r="G17" s="2643"/>
      <c r="H17" s="2653"/>
      <c r="I17" s="2654">
        <f>ROUND(D17*E17*F17*G17/10000,0)</f>
        <v>0</v>
      </c>
    </row>
    <row r="18" spans="1:9" ht="14.25">
      <c r="A18" s="3691"/>
      <c r="B18" s="3692" t="s">
        <v>2578</v>
      </c>
      <c r="C18" s="3692"/>
      <c r="D18" s="2641"/>
      <c r="E18" s="2641"/>
      <c r="F18" s="2642"/>
      <c r="G18" s="2643"/>
      <c r="H18" s="2653"/>
      <c r="I18" s="2654">
        <f>ROUND(D18*E18*F18*G18/10000,0)</f>
        <v>0</v>
      </c>
    </row>
    <row r="19" spans="1:9" ht="14.25">
      <c r="A19" s="3691"/>
      <c r="B19" s="3692" t="s">
        <v>2579</v>
      </c>
      <c r="C19" s="3692"/>
      <c r="D19" s="2641"/>
      <c r="E19" s="2641"/>
      <c r="F19" s="2642"/>
      <c r="G19" s="2643"/>
      <c r="H19" s="2653"/>
      <c r="I19" s="2654">
        <f>ROUND(D19*E19*F19*G19/10000,0)</f>
        <v>0</v>
      </c>
    </row>
    <row r="20" spans="1:9">
      <c r="A20" s="3691"/>
      <c r="B20" s="3693" t="s">
        <v>2563</v>
      </c>
      <c r="C20" s="3693"/>
      <c r="D20" s="2645">
        <f>SUM(D17:D19)</f>
        <v>0</v>
      </c>
      <c r="E20" s="2645"/>
      <c r="F20" s="2646"/>
      <c r="G20" s="2643"/>
      <c r="H20" s="2650"/>
      <c r="I20" s="2651">
        <f>SUM(I17:I19)</f>
        <v>0</v>
      </c>
    </row>
    <row r="21" spans="1:9">
      <c r="A21" s="3691" t="s">
        <v>2580</v>
      </c>
      <c r="B21" s="3694"/>
      <c r="C21" s="3694"/>
      <c r="D21" s="3694"/>
      <c r="E21" s="3694"/>
      <c r="F21" s="3694"/>
      <c r="G21" s="3694"/>
      <c r="H21" s="3299">
        <v>0.1</v>
      </c>
      <c r="I21" s="2648">
        <f>ROUND(I10*H21,0)</f>
        <v>0</v>
      </c>
    </row>
    <row r="22" spans="1:9" ht="14.25">
      <c r="A22" s="3695" t="s">
        <v>2581</v>
      </c>
      <c r="B22" s="3696"/>
      <c r="C22" s="3697"/>
      <c r="D22" s="2655" t="s">
        <v>2582</v>
      </c>
      <c r="E22" s="2655" t="s">
        <v>2583</v>
      </c>
      <c r="F22" s="2656" t="s">
        <v>2584</v>
      </c>
      <c r="G22" s="2656" t="s">
        <v>2585</v>
      </c>
      <c r="H22" s="2649" t="s">
        <v>2586</v>
      </c>
      <c r="I22" s="2640" t="s">
        <v>2587</v>
      </c>
    </row>
    <row r="23" spans="1:9" ht="14.25" thickBot="1">
      <c r="A23" s="3698"/>
      <c r="B23" s="3699"/>
      <c r="C23" s="3700"/>
      <c r="D23" s="2657"/>
      <c r="E23" s="2657"/>
      <c r="F23" s="2657"/>
      <c r="G23" s="2658"/>
      <c r="H23" s="2659"/>
      <c r="I23" s="2660">
        <f>ROUND(E23*D23*F23*(1-G23)/10000,0)</f>
        <v>0</v>
      </c>
    </row>
    <row r="26" spans="1:9">
      <c r="A26" s="2661" t="s">
        <v>2588</v>
      </c>
      <c r="B26" s="2661"/>
      <c r="C26" s="2661"/>
      <c r="D26" s="2661"/>
      <c r="E26" s="3688">
        <f>C27-C30-C31-C32</f>
        <v>0</v>
      </c>
      <c r="F26" s="3688"/>
      <c r="G26" s="3688"/>
      <c r="H26" s="3251" t="s">
        <v>2957</v>
      </c>
    </row>
    <row r="27" spans="1:9">
      <c r="A27" s="2662">
        <v>1</v>
      </c>
      <c r="B27" s="2663" t="s">
        <v>2589</v>
      </c>
      <c r="C27" s="2663">
        <f>C28+C29</f>
        <v>0</v>
      </c>
      <c r="D27" s="2663"/>
      <c r="E27" s="3689"/>
      <c r="F27" s="3689"/>
      <c r="G27" s="3689"/>
    </row>
    <row r="28" spans="1:9">
      <c r="A28" s="2664" t="s">
        <v>2590</v>
      </c>
      <c r="B28" s="2663" t="s">
        <v>2591</v>
      </c>
      <c r="C28" s="2663"/>
      <c r="D28" s="2663"/>
      <c r="E28" s="3689"/>
      <c r="F28" s="3689"/>
      <c r="G28" s="3689"/>
    </row>
    <row r="29" spans="1:9">
      <c r="A29" s="2664" t="s">
        <v>2592</v>
      </c>
      <c r="B29" s="2663" t="s">
        <v>2593</v>
      </c>
      <c r="C29" s="2663"/>
      <c r="D29" s="2663"/>
      <c r="E29" s="2663" t="s">
        <v>2594</v>
      </c>
      <c r="F29" s="2663"/>
      <c r="G29" s="2663"/>
    </row>
    <row r="30" spans="1:9">
      <c r="A30" s="2662">
        <v>2</v>
      </c>
      <c r="B30" s="2663" t="s">
        <v>2595</v>
      </c>
      <c r="C30" s="2663">
        <f>C27*D30</f>
        <v>0</v>
      </c>
      <c r="D30" s="2665">
        <v>0.2</v>
      </c>
      <c r="E30" s="2663" t="s">
        <v>2596</v>
      </c>
      <c r="F30" s="2663"/>
      <c r="G30" s="2663"/>
    </row>
    <row r="31" spans="1:9">
      <c r="A31" s="2662">
        <v>3</v>
      </c>
      <c r="B31" s="2663" t="s">
        <v>2597</v>
      </c>
      <c r="C31" s="2663">
        <f>C25*D31</f>
        <v>0</v>
      </c>
      <c r="D31" s="2665">
        <v>0.15</v>
      </c>
      <c r="E31" s="2663" t="s">
        <v>2598</v>
      </c>
      <c r="F31" s="2663"/>
      <c r="G31" s="2663"/>
    </row>
    <row r="32" spans="1:9">
      <c r="A32" s="2662">
        <v>4</v>
      </c>
      <c r="B32" s="2663" t="s">
        <v>2599</v>
      </c>
      <c r="C32" s="2663">
        <f>C27*D32</f>
        <v>0</v>
      </c>
      <c r="D32" s="2665">
        <v>0.05</v>
      </c>
      <c r="E32" s="3690"/>
      <c r="F32" s="3690"/>
      <c r="G32" s="3690"/>
    </row>
    <row r="33" spans="1:7" hidden="1">
      <c r="A33" s="3685" t="s">
        <v>2600</v>
      </c>
      <c r="B33" s="3686"/>
      <c r="C33" s="3686"/>
      <c r="D33" s="3687"/>
      <c r="E33" s="3688"/>
      <c r="F33" s="3688"/>
      <c r="G33" s="3688"/>
    </row>
    <row r="34" spans="1:7" hidden="1">
      <c r="A34" s="2666">
        <v>1</v>
      </c>
      <c r="B34" s="2663" t="s">
        <v>2601</v>
      </c>
      <c r="C34" s="2663"/>
      <c r="D34" s="2663"/>
      <c r="E34" s="3689"/>
      <c r="F34" s="3689"/>
      <c r="G34" s="3689"/>
    </row>
    <row r="35" spans="1:7" hidden="1">
      <c r="A35" s="2666">
        <v>2</v>
      </c>
      <c r="B35" s="2663" t="s">
        <v>2602</v>
      </c>
      <c r="C35" s="2663"/>
      <c r="D35" s="2663"/>
      <c r="E35" s="3689"/>
      <c r="F35" s="3689"/>
      <c r="G35" s="3689"/>
    </row>
    <row r="36" spans="1:7" hidden="1">
      <c r="A36" s="2666">
        <v>3</v>
      </c>
      <c r="B36" s="2663" t="s">
        <v>2603</v>
      </c>
      <c r="C36" s="2663"/>
      <c r="D36" s="2663"/>
      <c r="E36" s="3689"/>
      <c r="F36" s="3689"/>
      <c r="G36" s="3689"/>
    </row>
    <row r="37" spans="1:7" hidden="1">
      <c r="A37" s="2666">
        <v>4</v>
      </c>
      <c r="B37" s="2663" t="s">
        <v>2604</v>
      </c>
      <c r="C37" s="2663"/>
      <c r="D37" s="2663"/>
      <c r="E37" s="3689"/>
      <c r="F37" s="3689"/>
      <c r="G37" s="3689"/>
    </row>
    <row r="38" spans="1:7" hidden="1">
      <c r="A38" s="3685" t="s">
        <v>2605</v>
      </c>
      <c r="B38" s="3686"/>
      <c r="C38" s="3686"/>
      <c r="D38" s="3687"/>
      <c r="E38" s="3688"/>
      <c r="F38" s="3688"/>
      <c r="G38" s="36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978</v>
      </c>
      <c r="B1" s="3102" t="s">
        <v>979</v>
      </c>
      <c r="C1" s="3103" t="s">
        <v>980</v>
      </c>
      <c r="D1" s="3104"/>
      <c r="E1" s="3105"/>
      <c r="F1" s="3106" t="s">
        <v>2695</v>
      </c>
      <c r="G1" s="3108" t="s">
        <v>981</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982</v>
      </c>
      <c r="B2" s="2845" t="e">
        <f ca="1">IF(C2="——",ROUND(C49*D3/10000,0),ROUND(C49*D3/10000,0)-D2)</f>
        <v>#DIV/0!</v>
      </c>
      <c r="C2" s="3098"/>
      <c r="D2" s="2725" t="e">
        <f ca="1">SUMIF(INDIRECT("'"&amp;F2&amp;"'"&amp;"!A:A"),"承租人权益价值",INDIRECT("'"&amp;F2&amp;"'"&amp;"!c:c"))</f>
        <v>#REF!</v>
      </c>
      <c r="E2" s="3099" t="s">
        <v>867</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983</v>
      </c>
      <c r="B3" s="742" t="e">
        <f ca="1">IF(C2="——",C49,ROUND(B2*10000/D3,0))</f>
        <v>#DIV/0!</v>
      </c>
      <c r="C3" s="142" t="s">
        <v>984</v>
      </c>
      <c r="D3" s="742">
        <f>IF(D1="",'数据-汇总表'!E3,SUMIF('数据-汇总表'!$C19:$C33,D1,'数据-汇总表'!$E19:$E33))</f>
        <v>3441.66</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985</v>
      </c>
      <c r="B4" s="144"/>
      <c r="C4" s="3646" t="s">
        <v>986</v>
      </c>
      <c r="D4" s="3647"/>
      <c r="E4" s="3648" t="s">
        <v>987</v>
      </c>
      <c r="F4" s="3649"/>
      <c r="G4" s="3646" t="s">
        <v>988</v>
      </c>
      <c r="H4" s="3647"/>
      <c r="I4" s="3646" t="s">
        <v>989</v>
      </c>
      <c r="J4" s="3647"/>
      <c r="K4" s="145" t="s">
        <v>990</v>
      </c>
      <c r="L4" s="2296"/>
      <c r="M4" s="2297"/>
      <c r="N4" s="2297"/>
      <c r="O4" s="2297"/>
      <c r="P4" s="3650" t="s">
        <v>985</v>
      </c>
      <c r="Q4" s="3651"/>
      <c r="R4" s="3656" t="s">
        <v>987</v>
      </c>
      <c r="S4" s="3657"/>
      <c r="T4" s="3656" t="s">
        <v>988</v>
      </c>
      <c r="U4" s="3657"/>
      <c r="V4" s="3641" t="s">
        <v>989</v>
      </c>
      <c r="W4" s="3641"/>
      <c r="X4" s="1340"/>
      <c r="Y4" s="3656" t="s">
        <v>985</v>
      </c>
      <c r="Z4" s="3657"/>
      <c r="AA4" s="3643" t="s">
        <v>987</v>
      </c>
      <c r="AB4" s="3643" t="s">
        <v>988</v>
      </c>
      <c r="AC4" s="3643" t="s">
        <v>989</v>
      </c>
    </row>
    <row r="5" spans="1:29">
      <c r="A5" s="146"/>
      <c r="B5" s="147"/>
      <c r="C5" s="3664" t="s">
        <v>991</v>
      </c>
      <c r="D5" s="3665"/>
      <c r="E5" s="3671" t="s">
        <v>992</v>
      </c>
      <c r="F5" s="3672"/>
      <c r="G5" s="3664" t="s">
        <v>993</v>
      </c>
      <c r="H5" s="3665"/>
      <c r="I5" s="3664" t="s">
        <v>994</v>
      </c>
      <c r="J5" s="3665"/>
      <c r="K5" s="152"/>
      <c r="L5" s="2296"/>
      <c r="M5" s="2297"/>
      <c r="N5" s="2297"/>
      <c r="O5" s="2297"/>
      <c r="P5" s="3652"/>
      <c r="Q5" s="3653"/>
      <c r="R5" s="3658"/>
      <c r="S5" s="3659"/>
      <c r="T5" s="3658"/>
      <c r="U5" s="3659"/>
      <c r="V5" s="3641"/>
      <c r="W5" s="3641"/>
      <c r="X5" s="1340"/>
      <c r="Y5" s="3658"/>
      <c r="Z5" s="3659"/>
      <c r="AA5" s="3644"/>
      <c r="AB5" s="3644"/>
      <c r="AC5" s="3644"/>
    </row>
    <row r="6" spans="1:29" ht="14.25" thickBot="1">
      <c r="A6" s="148"/>
      <c r="B6" s="149"/>
      <c r="C6" s="3662" t="s">
        <v>995</v>
      </c>
      <c r="D6" s="3663"/>
      <c r="E6" s="3669" t="s">
        <v>995</v>
      </c>
      <c r="F6" s="3670"/>
      <c r="G6" s="3662" t="s">
        <v>995</v>
      </c>
      <c r="H6" s="3663"/>
      <c r="I6" s="3662" t="s">
        <v>995</v>
      </c>
      <c r="J6" s="3663"/>
      <c r="K6" s="152" t="s">
        <v>996</v>
      </c>
      <c r="L6" s="2296"/>
      <c r="M6" s="2297"/>
      <c r="N6" s="2297"/>
      <c r="O6" s="2297"/>
      <c r="P6" s="3654"/>
      <c r="Q6" s="3655"/>
      <c r="R6" s="3658"/>
      <c r="S6" s="3659"/>
      <c r="T6" s="3660"/>
      <c r="U6" s="3661"/>
      <c r="V6" s="3641"/>
      <c r="W6" s="3641"/>
      <c r="X6" s="1340"/>
      <c r="Y6" s="3660"/>
      <c r="Z6" s="3661"/>
      <c r="AA6" s="3645"/>
      <c r="AB6" s="3645"/>
      <c r="AC6" s="3645"/>
    </row>
    <row r="7" spans="1:29" s="40" customFormat="1" ht="15" thickBot="1">
      <c r="A7" s="1014" t="s">
        <v>997</v>
      </c>
      <c r="B7" s="1015"/>
      <c r="C7" s="1016">
        <f>'数据-取费表'!B2</f>
        <v>42997</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66" t="s">
        <v>997</v>
      </c>
      <c r="Q7" s="3668"/>
      <c r="R7" s="1342" t="s">
        <v>113</v>
      </c>
      <c r="S7" s="1343">
        <f t="shared" ref="S7:S15" si="0">F7</f>
        <v>0</v>
      </c>
      <c r="T7" s="1342" t="s">
        <v>113</v>
      </c>
      <c r="U7" s="1343">
        <f t="shared" ref="U7:U15" si="1">H7</f>
        <v>0</v>
      </c>
      <c r="V7" s="1342" t="s">
        <v>113</v>
      </c>
      <c r="W7" s="1343">
        <f t="shared" ref="W7:W15" si="2">J7</f>
        <v>0</v>
      </c>
      <c r="X7" s="287"/>
      <c r="Y7" s="3666" t="s">
        <v>997</v>
      </c>
      <c r="Z7" s="3667"/>
      <c r="AA7" s="1344" t="e">
        <f>D7/F7</f>
        <v>#DIV/0!</v>
      </c>
      <c r="AB7" s="1344" t="e">
        <f>D7/H7</f>
        <v>#DIV/0!</v>
      </c>
      <c r="AC7" s="1344" t="e">
        <f>D7/J7</f>
        <v>#DIV/0!</v>
      </c>
    </row>
    <row r="8" spans="1:29" s="40" customFormat="1" ht="15" thickBot="1">
      <c r="A8" s="1014" t="s">
        <v>998</v>
      </c>
      <c r="B8" s="1015"/>
      <c r="C8" s="1020" t="s">
        <v>153</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66" t="s">
        <v>998</v>
      </c>
      <c r="Q8" s="3667"/>
      <c r="R8" s="1342" t="s">
        <v>113</v>
      </c>
      <c r="S8" s="1343">
        <f t="shared" si="0"/>
        <v>0</v>
      </c>
      <c r="T8" s="1342" t="s">
        <v>113</v>
      </c>
      <c r="U8" s="1343">
        <f t="shared" si="1"/>
        <v>0</v>
      </c>
      <c r="V8" s="1342" t="s">
        <v>113</v>
      </c>
      <c r="W8" s="1343">
        <f t="shared" si="2"/>
        <v>0</v>
      </c>
      <c r="X8" s="287"/>
      <c r="Y8" s="3666" t="s">
        <v>998</v>
      </c>
      <c r="Z8" s="3667"/>
      <c r="AA8" s="1344" t="e">
        <f t="shared" ref="AA8:AA19" si="3">D8/F8</f>
        <v>#DIV/0!</v>
      </c>
      <c r="AB8" s="1344" t="e">
        <f t="shared" ref="AB8:AB19" si="4">D8/H8</f>
        <v>#DIV/0!</v>
      </c>
      <c r="AC8" s="1344" t="e">
        <f t="shared" ref="AC8:AC19" si="5">D8/J8</f>
        <v>#DIV/0!</v>
      </c>
    </row>
    <row r="9" spans="1:29" s="40" customFormat="1" ht="14.25">
      <c r="A9" s="1021" t="s">
        <v>999</v>
      </c>
      <c r="B9" s="62" t="s">
        <v>1000</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42" t="s">
        <v>65</v>
      </c>
      <c r="Q9" s="7" t="str">
        <f t="shared" ref="Q9:Q15" si="6">B9</f>
        <v>用途</v>
      </c>
      <c r="R9" s="1342" t="s">
        <v>63</v>
      </c>
      <c r="S9" s="1343">
        <f t="shared" si="0"/>
        <v>100</v>
      </c>
      <c r="T9" s="1342" t="s">
        <v>63</v>
      </c>
      <c r="U9" s="1343">
        <f t="shared" si="1"/>
        <v>100</v>
      </c>
      <c r="V9" s="1342" t="s">
        <v>63</v>
      </c>
      <c r="W9" s="1343">
        <f t="shared" si="2"/>
        <v>100</v>
      </c>
      <c r="X9" s="287"/>
      <c r="Y9" s="3473" t="s">
        <v>65</v>
      </c>
      <c r="Z9" s="288" t="str">
        <f t="shared" ref="Z9:Z15" si="7">Q9</f>
        <v>用途</v>
      </c>
      <c r="AA9" s="1344">
        <f t="shared" si="3"/>
        <v>1</v>
      </c>
      <c r="AB9" s="1344">
        <f t="shared" si="4"/>
        <v>1</v>
      </c>
      <c r="AC9" s="1344">
        <f t="shared" si="5"/>
        <v>1</v>
      </c>
    </row>
    <row r="10" spans="1:29" s="92" customFormat="1" ht="27">
      <c r="A10" s="150"/>
      <c r="B10" s="12" t="s">
        <v>104</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42"/>
      <c r="Q10" s="7" t="str">
        <f t="shared" si="6"/>
        <v>土地使用年限（年）</v>
      </c>
      <c r="R10" s="1342" t="s">
        <v>63</v>
      </c>
      <c r="S10" s="1343">
        <f t="shared" si="0"/>
        <v>100</v>
      </c>
      <c r="T10" s="1342" t="s">
        <v>63</v>
      </c>
      <c r="U10" s="1343">
        <f t="shared" si="1"/>
        <v>100</v>
      </c>
      <c r="V10" s="1342" t="s">
        <v>63</v>
      </c>
      <c r="W10" s="1343">
        <f t="shared" si="2"/>
        <v>100</v>
      </c>
      <c r="X10" s="287"/>
      <c r="Y10" s="3473"/>
      <c r="Z10" s="288" t="str">
        <f t="shared" si="7"/>
        <v>土地使用年限（年）</v>
      </c>
      <c r="AA10" s="1344">
        <f t="shared" si="3"/>
        <v>1</v>
      </c>
      <c r="AB10" s="1344">
        <f t="shared" si="4"/>
        <v>1</v>
      </c>
      <c r="AC10" s="1344">
        <f t="shared" si="5"/>
        <v>1</v>
      </c>
    </row>
    <row r="11" spans="1:29" ht="15">
      <c r="A11" s="151"/>
      <c r="B11" s="12" t="s">
        <v>91</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42"/>
      <c r="Q11" s="7" t="str">
        <f t="shared" si="6"/>
        <v>容积率</v>
      </c>
      <c r="R11" s="1342" t="s">
        <v>102</v>
      </c>
      <c r="S11" s="1343" t="e">
        <f t="shared" si="0"/>
        <v>#N/A</v>
      </c>
      <c r="T11" s="1342" t="s">
        <v>102</v>
      </c>
      <c r="U11" s="1343" t="e">
        <f t="shared" si="1"/>
        <v>#N/A</v>
      </c>
      <c r="V11" s="1342" t="s">
        <v>102</v>
      </c>
      <c r="W11" s="1343" t="e">
        <f t="shared" si="2"/>
        <v>#N/A</v>
      </c>
      <c r="X11" s="287"/>
      <c r="Y11" s="347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42"/>
      <c r="Q12" s="7">
        <f t="shared" si="6"/>
        <v>111</v>
      </c>
      <c r="R12" s="1342" t="s">
        <v>102</v>
      </c>
      <c r="S12" s="1343">
        <f t="shared" si="0"/>
        <v>100</v>
      </c>
      <c r="T12" s="1342" t="s">
        <v>102</v>
      </c>
      <c r="U12" s="1343">
        <f t="shared" si="1"/>
        <v>100</v>
      </c>
      <c r="V12" s="1342" t="s">
        <v>102</v>
      </c>
      <c r="W12" s="1343">
        <f t="shared" si="2"/>
        <v>100</v>
      </c>
      <c r="X12" s="287"/>
      <c r="Y12" s="347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42"/>
      <c r="Q13" s="7">
        <f t="shared" si="6"/>
        <v>111</v>
      </c>
      <c r="R13" s="1342" t="s">
        <v>102</v>
      </c>
      <c r="S13" s="1343">
        <f t="shared" si="0"/>
        <v>100</v>
      </c>
      <c r="T13" s="1342" t="s">
        <v>102</v>
      </c>
      <c r="U13" s="1343">
        <f t="shared" si="1"/>
        <v>100</v>
      </c>
      <c r="V13" s="1342" t="s">
        <v>102</v>
      </c>
      <c r="W13" s="1343">
        <f t="shared" si="2"/>
        <v>100</v>
      </c>
      <c r="X13" s="287"/>
      <c r="Y13" s="347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42"/>
      <c r="Q14" s="7">
        <f t="shared" si="6"/>
        <v>111</v>
      </c>
      <c r="R14" s="1342" t="s">
        <v>102</v>
      </c>
      <c r="S14" s="1343">
        <f t="shared" si="0"/>
        <v>100</v>
      </c>
      <c r="T14" s="1342" t="s">
        <v>102</v>
      </c>
      <c r="U14" s="1343">
        <f t="shared" si="1"/>
        <v>100</v>
      </c>
      <c r="V14" s="1342" t="s">
        <v>102</v>
      </c>
      <c r="W14" s="1343">
        <f t="shared" si="2"/>
        <v>100</v>
      </c>
      <c r="X14" s="287"/>
      <c r="Y14" s="3473"/>
      <c r="Z14" s="288">
        <f t="shared" si="7"/>
        <v>111</v>
      </c>
      <c r="AA14" s="1344">
        <f t="shared" si="3"/>
        <v>1</v>
      </c>
      <c r="AB14" s="1344">
        <f t="shared" si="4"/>
        <v>1</v>
      </c>
      <c r="AC14" s="1344">
        <f t="shared" si="5"/>
        <v>1</v>
      </c>
    </row>
    <row r="15" spans="1:29" ht="94.5">
      <c r="A15" s="155" t="s">
        <v>67</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2" t="s">
        <v>67</v>
      </c>
      <c r="Q15" s="1351" t="str">
        <f t="shared" si="6"/>
        <v>居住社区成熟度</v>
      </c>
      <c r="R15" s="1352" t="s">
        <v>102</v>
      </c>
      <c r="S15" s="1353">
        <f t="shared" si="0"/>
        <v>100</v>
      </c>
      <c r="T15" s="1352" t="s">
        <v>102</v>
      </c>
      <c r="U15" s="1353">
        <f t="shared" si="1"/>
        <v>100</v>
      </c>
      <c r="V15" s="1352" t="s">
        <v>102</v>
      </c>
      <c r="W15" s="1353">
        <f t="shared" si="2"/>
        <v>100</v>
      </c>
      <c r="X15" s="1340"/>
      <c r="Y15" s="3634" t="s">
        <v>67</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33"/>
      <c r="Q16" s="1351"/>
      <c r="R16" s="1352"/>
      <c r="S16" s="1353"/>
      <c r="T16" s="1352"/>
      <c r="U16" s="1353"/>
      <c r="V16" s="1352"/>
      <c r="W16" s="1353"/>
      <c r="X16" s="1340"/>
      <c r="Y16" s="3635"/>
      <c r="Z16" s="1354"/>
      <c r="AA16" s="1355">
        <v>1</v>
      </c>
      <c r="AB16" s="1355">
        <v>1</v>
      </c>
      <c r="AC16" s="1355">
        <v>1</v>
      </c>
    </row>
    <row r="17" spans="1:29" ht="81">
      <c r="A17" s="151"/>
      <c r="B17" s="1356" t="s">
        <v>70</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33"/>
      <c r="Q17" s="1351" t="str">
        <f>B17</f>
        <v>交通便捷度</v>
      </c>
      <c r="R17" s="1352" t="s">
        <v>102</v>
      </c>
      <c r="S17" s="1353">
        <f>F17</f>
        <v>100</v>
      </c>
      <c r="T17" s="1352" t="s">
        <v>102</v>
      </c>
      <c r="U17" s="1353">
        <f>H17</f>
        <v>100</v>
      </c>
      <c r="V17" s="1352" t="s">
        <v>102</v>
      </c>
      <c r="W17" s="1353">
        <f>J17</f>
        <v>100</v>
      </c>
      <c r="X17" s="1340"/>
      <c r="Y17" s="363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33"/>
      <c r="Q18" s="1351"/>
      <c r="R18" s="1352"/>
      <c r="S18" s="1353"/>
      <c r="T18" s="1352"/>
      <c r="U18" s="1353"/>
      <c r="V18" s="1352"/>
      <c r="W18" s="1353"/>
      <c r="X18" s="1340"/>
      <c r="Y18" s="3635"/>
      <c r="Z18" s="1354"/>
      <c r="AA18" s="1355">
        <v>1</v>
      </c>
      <c r="AB18" s="1355">
        <v>1</v>
      </c>
      <c r="AC18" s="1355">
        <v>1</v>
      </c>
    </row>
    <row r="19" spans="1:29" ht="40.5">
      <c r="A19" s="151"/>
      <c r="B19" s="1356" t="s">
        <v>2631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33"/>
      <c r="Q19" s="1351" t="str">
        <f>B19</f>
        <v>公共配套设施</v>
      </c>
      <c r="R19" s="1352" t="s">
        <v>102</v>
      </c>
      <c r="S19" s="1353">
        <f>F19</f>
        <v>100</v>
      </c>
      <c r="T19" s="1352" t="s">
        <v>102</v>
      </c>
      <c r="U19" s="1353">
        <f>H19</f>
        <v>100</v>
      </c>
      <c r="V19" s="1352" t="s">
        <v>102</v>
      </c>
      <c r="W19" s="1353">
        <f>J19</f>
        <v>100</v>
      </c>
      <c r="X19" s="1340"/>
      <c r="Y19" s="363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33"/>
      <c r="Q20" s="1351"/>
      <c r="R20" s="1352"/>
      <c r="S20" s="1353"/>
      <c r="T20" s="1352"/>
      <c r="U20" s="1353"/>
      <c r="V20" s="1352"/>
      <c r="W20" s="1353"/>
      <c r="X20" s="1340"/>
      <c r="Y20" s="3635"/>
      <c r="Z20" s="1354"/>
      <c r="AA20" s="1355">
        <v>1</v>
      </c>
      <c r="AB20" s="1355">
        <v>1</v>
      </c>
      <c r="AC20" s="1355">
        <v>1</v>
      </c>
    </row>
    <row r="21" spans="1:29" ht="27">
      <c r="A21" s="151"/>
      <c r="B21" s="1412" t="s">
        <v>2642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33"/>
      <c r="Q21" s="2747" t="str">
        <f>B21</f>
        <v>基础设施水平</v>
      </c>
      <c r="R21" s="1352" t="s">
        <v>63</v>
      </c>
      <c r="S21" s="1353">
        <f>F21</f>
        <v>100</v>
      </c>
      <c r="T21" s="1352" t="s">
        <v>63</v>
      </c>
      <c r="U21" s="1353">
        <f>H21</f>
        <v>100</v>
      </c>
      <c r="V21" s="1352" t="s">
        <v>63</v>
      </c>
      <c r="W21" s="1353">
        <f>J21</f>
        <v>100</v>
      </c>
      <c r="X21" s="2749"/>
      <c r="Y21" s="363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33"/>
      <c r="Q22" s="2747"/>
      <c r="R22" s="1352"/>
      <c r="S22" s="1353"/>
      <c r="T22" s="1352"/>
      <c r="U22" s="1353"/>
      <c r="V22" s="1352"/>
      <c r="W22" s="1353"/>
      <c r="X22" s="2749"/>
      <c r="Y22" s="3635"/>
      <c r="Z22" s="2748"/>
      <c r="AA22" s="1355">
        <v>1</v>
      </c>
      <c r="AB22" s="1355">
        <v>1</v>
      </c>
      <c r="AC22" s="1355">
        <v>1</v>
      </c>
    </row>
    <row r="23" spans="1:29" ht="54">
      <c r="A23" s="151"/>
      <c r="B23" s="1356" t="s">
        <v>71</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33"/>
      <c r="Q23" s="1351" t="str">
        <f>B23</f>
        <v>自然及人文环境</v>
      </c>
      <c r="R23" s="1352" t="s">
        <v>102</v>
      </c>
      <c r="S23" s="1353">
        <f>F23</f>
        <v>100</v>
      </c>
      <c r="T23" s="1352" t="s">
        <v>102</v>
      </c>
      <c r="U23" s="1353">
        <f>H23</f>
        <v>100</v>
      </c>
      <c r="V23" s="1352" t="s">
        <v>102</v>
      </c>
      <c r="W23" s="1353">
        <f>J23</f>
        <v>100</v>
      </c>
      <c r="X23" s="1340"/>
      <c r="Y23" s="363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33"/>
      <c r="Q24" s="1351"/>
      <c r="R24" s="1352"/>
      <c r="S24" s="1353"/>
      <c r="T24" s="1352"/>
      <c r="U24" s="1353"/>
      <c r="V24" s="1352"/>
      <c r="W24" s="1353"/>
      <c r="X24" s="1340"/>
      <c r="Y24" s="3635"/>
      <c r="Z24" s="1354"/>
      <c r="AA24" s="1355">
        <v>1</v>
      </c>
      <c r="AB24" s="1355">
        <v>1</v>
      </c>
      <c r="AC24" s="1355">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33"/>
      <c r="Q25" s="1351" t="str">
        <f t="shared" ref="Q25:Q46" si="11">B25</f>
        <v>楼层-1</v>
      </c>
      <c r="R25" s="1352" t="s">
        <v>102</v>
      </c>
      <c r="S25" s="1353">
        <f t="shared" ref="S25:S46" si="12">F25</f>
        <v>100</v>
      </c>
      <c r="T25" s="1352" t="s">
        <v>102</v>
      </c>
      <c r="U25" s="1353">
        <f t="shared" ref="U25:U46" si="13">H25</f>
        <v>100</v>
      </c>
      <c r="V25" s="1352" t="s">
        <v>102</v>
      </c>
      <c r="W25" s="1353">
        <f t="shared" ref="W25:W46" si="14">J25</f>
        <v>100</v>
      </c>
      <c r="X25" s="1340"/>
      <c r="Y25" s="3635"/>
      <c r="Z25" s="1354" t="str">
        <f>Q25</f>
        <v>楼层-1</v>
      </c>
      <c r="AA25" s="1355">
        <f t="shared" ref="AA25:AA46" si="15">D25/F25</f>
        <v>1</v>
      </c>
      <c r="AB25" s="1355">
        <f t="shared" ref="AB25:AB46" si="16">D25/H25</f>
        <v>1</v>
      </c>
      <c r="AC25" s="1355">
        <f t="shared" ref="AC25:AC46" si="17">D25/J25</f>
        <v>1</v>
      </c>
    </row>
    <row r="26" spans="1:29" ht="15">
      <c r="A26" s="151"/>
      <c r="B26" s="12" t="s">
        <v>72</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33"/>
      <c r="Q26" s="1351" t="str">
        <f t="shared" si="11"/>
        <v>朝向</v>
      </c>
      <c r="R26" s="1352" t="s">
        <v>102</v>
      </c>
      <c r="S26" s="1353">
        <f t="shared" si="12"/>
        <v>100</v>
      </c>
      <c r="T26" s="1352" t="s">
        <v>102</v>
      </c>
      <c r="U26" s="1353">
        <f t="shared" si="13"/>
        <v>100</v>
      </c>
      <c r="V26" s="1352" t="s">
        <v>102</v>
      </c>
      <c r="W26" s="1353">
        <f t="shared" si="14"/>
        <v>100</v>
      </c>
      <c r="X26" s="1340"/>
      <c r="Y26" s="363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33"/>
      <c r="Q27" s="7">
        <f t="shared" si="11"/>
        <v>111</v>
      </c>
      <c r="R27" s="1342" t="s">
        <v>102</v>
      </c>
      <c r="S27" s="1343">
        <f t="shared" si="12"/>
        <v>100</v>
      </c>
      <c r="T27" s="1342" t="s">
        <v>102</v>
      </c>
      <c r="U27" s="1343">
        <f t="shared" si="13"/>
        <v>100</v>
      </c>
      <c r="V27" s="1342" t="s">
        <v>102</v>
      </c>
      <c r="W27" s="1343">
        <f t="shared" si="14"/>
        <v>100</v>
      </c>
      <c r="X27" s="287"/>
      <c r="Y27" s="363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33"/>
      <c r="Q28" s="1351">
        <f t="shared" si="11"/>
        <v>111</v>
      </c>
      <c r="R28" s="1352" t="s">
        <v>102</v>
      </c>
      <c r="S28" s="1353">
        <f t="shared" si="12"/>
        <v>100</v>
      </c>
      <c r="T28" s="1352" t="s">
        <v>102</v>
      </c>
      <c r="U28" s="1353">
        <f t="shared" si="13"/>
        <v>100</v>
      </c>
      <c r="V28" s="1352" t="s">
        <v>102</v>
      </c>
      <c r="W28" s="1353">
        <f t="shared" si="14"/>
        <v>100</v>
      </c>
      <c r="X28" s="1340"/>
      <c r="Y28" s="363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33"/>
      <c r="Q29" s="1351">
        <f t="shared" si="11"/>
        <v>111</v>
      </c>
      <c r="R29" s="1352" t="s">
        <v>102</v>
      </c>
      <c r="S29" s="1353">
        <f t="shared" si="12"/>
        <v>100</v>
      </c>
      <c r="T29" s="1352" t="s">
        <v>102</v>
      </c>
      <c r="U29" s="1353">
        <f t="shared" si="13"/>
        <v>100</v>
      </c>
      <c r="V29" s="1352" t="s">
        <v>102</v>
      </c>
      <c r="W29" s="1353">
        <f t="shared" si="14"/>
        <v>100</v>
      </c>
      <c r="X29" s="1340"/>
      <c r="Y29" s="363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33"/>
      <c r="Q30" s="1351">
        <f t="shared" si="11"/>
        <v>111</v>
      </c>
      <c r="R30" s="1352" t="s">
        <v>102</v>
      </c>
      <c r="S30" s="1353">
        <f t="shared" si="12"/>
        <v>100</v>
      </c>
      <c r="T30" s="1352" t="s">
        <v>102</v>
      </c>
      <c r="U30" s="1353">
        <f t="shared" si="13"/>
        <v>100</v>
      </c>
      <c r="V30" s="1352" t="s">
        <v>102</v>
      </c>
      <c r="W30" s="1353">
        <f t="shared" si="14"/>
        <v>100</v>
      </c>
      <c r="X30" s="1340"/>
      <c r="Y30" s="363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33"/>
      <c r="Q31" s="1351">
        <f t="shared" si="11"/>
        <v>111</v>
      </c>
      <c r="R31" s="1352" t="s">
        <v>102</v>
      </c>
      <c r="S31" s="1353">
        <f t="shared" si="12"/>
        <v>100</v>
      </c>
      <c r="T31" s="1352" t="s">
        <v>102</v>
      </c>
      <c r="U31" s="1353">
        <f t="shared" si="13"/>
        <v>100</v>
      </c>
      <c r="V31" s="1352" t="s">
        <v>102</v>
      </c>
      <c r="W31" s="1353">
        <f t="shared" si="14"/>
        <v>100</v>
      </c>
      <c r="X31" s="1340"/>
      <c r="Y31" s="3635"/>
      <c r="Z31" s="1354">
        <f t="shared" si="18"/>
        <v>111</v>
      </c>
      <c r="AA31" s="1355">
        <f t="shared" si="15"/>
        <v>1</v>
      </c>
      <c r="AB31" s="1355">
        <f t="shared" si="16"/>
        <v>1</v>
      </c>
      <c r="AC31" s="1355">
        <f t="shared" si="17"/>
        <v>1</v>
      </c>
    </row>
    <row r="32" spans="1:29" ht="15">
      <c r="A32" s="155" t="s">
        <v>1001</v>
      </c>
      <c r="B32" s="62" t="s">
        <v>73</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36" t="s">
        <v>68</v>
      </c>
      <c r="Q32" s="1351" t="str">
        <f t="shared" si="11"/>
        <v>建筑类型</v>
      </c>
      <c r="R32" s="1352" t="s">
        <v>102</v>
      </c>
      <c r="S32" s="1353">
        <f t="shared" si="12"/>
        <v>100</v>
      </c>
      <c r="T32" s="1352" t="s">
        <v>102</v>
      </c>
      <c r="U32" s="1353">
        <f t="shared" si="13"/>
        <v>100</v>
      </c>
      <c r="V32" s="1352" t="s">
        <v>102</v>
      </c>
      <c r="W32" s="1353">
        <f t="shared" si="14"/>
        <v>100</v>
      </c>
      <c r="X32" s="1340"/>
      <c r="Y32" s="3639" t="s">
        <v>68</v>
      </c>
      <c r="Z32" s="1354" t="str">
        <f t="shared" si="18"/>
        <v>建筑类型</v>
      </c>
      <c r="AA32" s="1355">
        <f t="shared" si="15"/>
        <v>1</v>
      </c>
      <c r="AB32" s="1355">
        <f t="shared" si="16"/>
        <v>1</v>
      </c>
      <c r="AC32" s="1355">
        <f t="shared" si="17"/>
        <v>1</v>
      </c>
    </row>
    <row r="33" spans="1:29" s="1039" customFormat="1" ht="14.25">
      <c r="A33" s="1043"/>
      <c r="B33" s="12" t="s">
        <v>74</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37"/>
      <c r="Q33" s="1359" t="str">
        <f t="shared" si="11"/>
        <v>项目建筑规模</v>
      </c>
      <c r="R33" s="1360" t="s">
        <v>102</v>
      </c>
      <c r="S33" s="1361" t="e">
        <f t="shared" si="12"/>
        <v>#N/A</v>
      </c>
      <c r="T33" s="1360" t="s">
        <v>102</v>
      </c>
      <c r="U33" s="1361" t="e">
        <f t="shared" si="13"/>
        <v>#N/A</v>
      </c>
      <c r="V33" s="1360" t="s">
        <v>102</v>
      </c>
      <c r="W33" s="1361" t="e">
        <f t="shared" si="14"/>
        <v>#N/A</v>
      </c>
      <c r="X33" s="1362"/>
      <c r="Y33" s="3639"/>
      <c r="Z33" s="1363" t="str">
        <f t="shared" si="18"/>
        <v>项目建筑规模</v>
      </c>
      <c r="AA33" s="1355" t="e">
        <f t="shared" si="15"/>
        <v>#N/A</v>
      </c>
      <c r="AB33" s="1355" t="e">
        <f t="shared" si="16"/>
        <v>#N/A</v>
      </c>
      <c r="AC33" s="1355" t="e">
        <f t="shared" si="17"/>
        <v>#N/A</v>
      </c>
    </row>
    <row r="34" spans="1:29" ht="15">
      <c r="A34" s="161"/>
      <c r="B34" s="12" t="s">
        <v>75</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37"/>
      <c r="Q34" s="1351" t="str">
        <f t="shared" si="11"/>
        <v>建筑结构</v>
      </c>
      <c r="R34" s="1352" t="s">
        <v>102</v>
      </c>
      <c r="S34" s="1353">
        <f t="shared" si="12"/>
        <v>100</v>
      </c>
      <c r="T34" s="1352" t="s">
        <v>102</v>
      </c>
      <c r="U34" s="1353">
        <f t="shared" si="13"/>
        <v>100</v>
      </c>
      <c r="V34" s="1352" t="s">
        <v>102</v>
      </c>
      <c r="W34" s="1353">
        <f t="shared" si="14"/>
        <v>100</v>
      </c>
      <c r="X34" s="1340"/>
      <c r="Y34" s="3639"/>
      <c r="Z34" s="1354" t="str">
        <f t="shared" si="18"/>
        <v>建筑结构</v>
      </c>
      <c r="AA34" s="1355">
        <f t="shared" si="15"/>
        <v>1</v>
      </c>
      <c r="AB34" s="1355">
        <f t="shared" si="16"/>
        <v>1</v>
      </c>
      <c r="AC34" s="1355">
        <f t="shared" si="17"/>
        <v>1</v>
      </c>
    </row>
    <row r="35" spans="1:29" ht="15">
      <c r="A35" s="161"/>
      <c r="B35" s="12" t="s">
        <v>76</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37"/>
      <c r="Q35" s="1351" t="str">
        <f t="shared" si="11"/>
        <v>建筑品质</v>
      </c>
      <c r="R35" s="1352" t="s">
        <v>102</v>
      </c>
      <c r="S35" s="1353">
        <f t="shared" si="12"/>
        <v>100</v>
      </c>
      <c r="T35" s="1352" t="s">
        <v>102</v>
      </c>
      <c r="U35" s="1353">
        <f t="shared" si="13"/>
        <v>100</v>
      </c>
      <c r="V35" s="1352" t="s">
        <v>102</v>
      </c>
      <c r="W35" s="1353">
        <f t="shared" si="14"/>
        <v>100</v>
      </c>
      <c r="X35" s="1340"/>
      <c r="Y35" s="3639"/>
      <c r="Z35" s="1354" t="str">
        <f t="shared" si="18"/>
        <v>建筑品质</v>
      </c>
      <c r="AA35" s="1355">
        <f t="shared" si="15"/>
        <v>1</v>
      </c>
      <c r="AB35" s="1355">
        <f t="shared" si="16"/>
        <v>1</v>
      </c>
      <c r="AC35" s="1355">
        <f t="shared" si="17"/>
        <v>1</v>
      </c>
    </row>
    <row r="36" spans="1:29" ht="15">
      <c r="A36" s="161"/>
      <c r="B36" s="12" t="s">
        <v>77</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37"/>
      <c r="Q36" s="1351" t="str">
        <f t="shared" si="11"/>
        <v>公共部分装修</v>
      </c>
      <c r="R36" s="1352" t="s">
        <v>102</v>
      </c>
      <c r="S36" s="1353">
        <f t="shared" si="12"/>
        <v>100</v>
      </c>
      <c r="T36" s="1352" t="s">
        <v>102</v>
      </c>
      <c r="U36" s="1353">
        <f t="shared" si="13"/>
        <v>100</v>
      </c>
      <c r="V36" s="1352" t="s">
        <v>102</v>
      </c>
      <c r="W36" s="1353">
        <f t="shared" si="14"/>
        <v>100</v>
      </c>
      <c r="X36" s="1340"/>
      <c r="Y36" s="3639"/>
      <c r="Z36" s="1354" t="str">
        <f t="shared" si="18"/>
        <v>公共部分装修</v>
      </c>
      <c r="AA36" s="1355">
        <f t="shared" si="15"/>
        <v>1</v>
      </c>
      <c r="AB36" s="1355">
        <f t="shared" si="16"/>
        <v>1</v>
      </c>
      <c r="AC36" s="1355">
        <f t="shared" si="17"/>
        <v>1</v>
      </c>
    </row>
    <row r="37" spans="1:29" s="40" customFormat="1" ht="15">
      <c r="A37" s="1041"/>
      <c r="B37" s="12" t="s">
        <v>78</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37"/>
      <c r="Q37" s="7" t="str">
        <f t="shared" si="11"/>
        <v>成新度</v>
      </c>
      <c r="R37" s="1342" t="s">
        <v>102</v>
      </c>
      <c r="S37" s="1343" t="e">
        <f t="shared" si="12"/>
        <v>#N/A</v>
      </c>
      <c r="T37" s="1342" t="s">
        <v>102</v>
      </c>
      <c r="U37" s="1343" t="e">
        <f t="shared" si="13"/>
        <v>#N/A</v>
      </c>
      <c r="V37" s="1342" t="s">
        <v>102</v>
      </c>
      <c r="W37" s="1343" t="e">
        <f t="shared" si="14"/>
        <v>#N/A</v>
      </c>
      <c r="X37" s="287"/>
      <c r="Y37" s="3639"/>
      <c r="Z37" s="288" t="str">
        <f t="shared" si="18"/>
        <v>成新度</v>
      </c>
      <c r="AA37" s="1344" t="e">
        <f t="shared" si="15"/>
        <v>#N/A</v>
      </c>
      <c r="AB37" s="1344" t="e">
        <f t="shared" si="16"/>
        <v>#N/A</v>
      </c>
      <c r="AC37" s="1344" t="e">
        <f t="shared" si="17"/>
        <v>#N/A</v>
      </c>
    </row>
    <row r="38" spans="1:29" ht="15">
      <c r="A38" s="161"/>
      <c r="B38" s="12" t="s">
        <v>79</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37" t="s">
        <v>68</v>
      </c>
      <c r="Q38" s="1351" t="str">
        <f t="shared" si="11"/>
        <v>物业管理</v>
      </c>
      <c r="R38" s="1352" t="s">
        <v>102</v>
      </c>
      <c r="S38" s="1353">
        <f t="shared" si="12"/>
        <v>100</v>
      </c>
      <c r="T38" s="1352" t="s">
        <v>102</v>
      </c>
      <c r="U38" s="1353">
        <f t="shared" si="13"/>
        <v>100</v>
      </c>
      <c r="V38" s="1352" t="s">
        <v>102</v>
      </c>
      <c r="W38" s="1353">
        <f t="shared" si="14"/>
        <v>100</v>
      </c>
      <c r="X38" s="1340"/>
      <c r="Y38" s="3639" t="s">
        <v>68</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37"/>
      <c r="Q39" s="1351" t="str">
        <f t="shared" si="11"/>
        <v>市政基础设施</v>
      </c>
      <c r="R39" s="1352" t="s">
        <v>102</v>
      </c>
      <c r="S39" s="1353">
        <f t="shared" si="12"/>
        <v>100</v>
      </c>
      <c r="T39" s="1352" t="s">
        <v>102</v>
      </c>
      <c r="U39" s="1353">
        <f t="shared" si="13"/>
        <v>100</v>
      </c>
      <c r="V39" s="1352" t="s">
        <v>102</v>
      </c>
      <c r="W39" s="1353">
        <f t="shared" si="14"/>
        <v>100</v>
      </c>
      <c r="X39" s="1340"/>
      <c r="Y39" s="3639"/>
      <c r="Z39" s="1354" t="str">
        <f t="shared" si="18"/>
        <v>市政基础设施</v>
      </c>
      <c r="AA39" s="1355">
        <f t="shared" si="15"/>
        <v>1</v>
      </c>
      <c r="AB39" s="1355">
        <f t="shared" si="16"/>
        <v>1</v>
      </c>
      <c r="AC39" s="1355">
        <f t="shared" si="17"/>
        <v>1</v>
      </c>
    </row>
    <row r="40" spans="1:29" ht="15">
      <c r="A40" s="161"/>
      <c r="B40" s="12" t="s">
        <v>80</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37"/>
      <c r="Q40" s="1351" t="str">
        <f t="shared" si="11"/>
        <v>房型</v>
      </c>
      <c r="R40" s="1352" t="s">
        <v>102</v>
      </c>
      <c r="S40" s="1353">
        <f t="shared" si="12"/>
        <v>100</v>
      </c>
      <c r="T40" s="1352" t="s">
        <v>102</v>
      </c>
      <c r="U40" s="1353">
        <f t="shared" si="13"/>
        <v>100</v>
      </c>
      <c r="V40" s="1352" t="s">
        <v>102</v>
      </c>
      <c r="W40" s="1353">
        <f t="shared" si="14"/>
        <v>100</v>
      </c>
      <c r="X40" s="1340"/>
      <c r="Y40" s="3639"/>
      <c r="Z40" s="1354" t="str">
        <f t="shared" si="18"/>
        <v>房型</v>
      </c>
      <c r="AA40" s="1355">
        <f t="shared" si="15"/>
        <v>1</v>
      </c>
      <c r="AB40" s="1355">
        <f t="shared" si="16"/>
        <v>1</v>
      </c>
      <c r="AC40" s="1355">
        <f t="shared" si="17"/>
        <v>1</v>
      </c>
    </row>
    <row r="41" spans="1:29" s="1039" customFormat="1" ht="27">
      <c r="A41" s="1043"/>
      <c r="B41" s="12" t="s">
        <v>103</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37"/>
      <c r="Q41" s="1359" t="str">
        <f t="shared" si="11"/>
        <v>单套/主力户型建筑面积</v>
      </c>
      <c r="R41" s="1360" t="s">
        <v>102</v>
      </c>
      <c r="S41" s="1361">
        <f t="shared" si="12"/>
        <v>100</v>
      </c>
      <c r="T41" s="1360" t="s">
        <v>102</v>
      </c>
      <c r="U41" s="1361">
        <f t="shared" si="13"/>
        <v>100</v>
      </c>
      <c r="V41" s="1360" t="s">
        <v>102</v>
      </c>
      <c r="W41" s="1361">
        <f t="shared" si="14"/>
        <v>100</v>
      </c>
      <c r="X41" s="1362"/>
      <c r="Y41" s="3639"/>
      <c r="Z41" s="1363" t="str">
        <f t="shared" si="18"/>
        <v>单套/主力户型建筑面积</v>
      </c>
      <c r="AA41" s="1355">
        <f t="shared" si="15"/>
        <v>1</v>
      </c>
      <c r="AB41" s="1355">
        <f t="shared" si="16"/>
        <v>1</v>
      </c>
      <c r="AC41" s="1355">
        <f t="shared" si="17"/>
        <v>1</v>
      </c>
    </row>
    <row r="42" spans="1:29" ht="15">
      <c r="A42" s="161"/>
      <c r="B42" s="12" t="s">
        <v>81</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37"/>
      <c r="Q42" s="1351" t="str">
        <f t="shared" si="11"/>
        <v>内部装修</v>
      </c>
      <c r="R42" s="1352" t="s">
        <v>102</v>
      </c>
      <c r="S42" s="1353">
        <f t="shared" si="12"/>
        <v>100</v>
      </c>
      <c r="T42" s="1352" t="s">
        <v>102</v>
      </c>
      <c r="U42" s="1353">
        <f t="shared" si="13"/>
        <v>100</v>
      </c>
      <c r="V42" s="1352" t="s">
        <v>102</v>
      </c>
      <c r="W42" s="1353">
        <f t="shared" si="14"/>
        <v>100</v>
      </c>
      <c r="X42" s="1340"/>
      <c r="Y42" s="3639"/>
      <c r="Z42" s="1354" t="str">
        <f t="shared" si="18"/>
        <v>内部装修</v>
      </c>
      <c r="AA42" s="1355">
        <f t="shared" si="15"/>
        <v>1</v>
      </c>
      <c r="AB42" s="1355">
        <f t="shared" si="16"/>
        <v>1</v>
      </c>
      <c r="AC42" s="1355">
        <f t="shared" si="17"/>
        <v>1</v>
      </c>
    </row>
    <row r="43" spans="1:29" ht="27">
      <c r="A43" s="161"/>
      <c r="B43" s="12" t="s">
        <v>82</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37"/>
      <c r="Q43" s="1351" t="str">
        <f t="shared" si="11"/>
        <v>内部装修维护情况</v>
      </c>
      <c r="R43" s="1352" t="s">
        <v>102</v>
      </c>
      <c r="S43" s="1353">
        <f t="shared" si="12"/>
        <v>100</v>
      </c>
      <c r="T43" s="1352" t="s">
        <v>102</v>
      </c>
      <c r="U43" s="1353">
        <f t="shared" si="13"/>
        <v>100</v>
      </c>
      <c r="V43" s="1352" t="s">
        <v>102</v>
      </c>
      <c r="W43" s="1353">
        <f t="shared" si="14"/>
        <v>100</v>
      </c>
      <c r="X43" s="1340"/>
      <c r="Y43" s="363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37"/>
      <c r="Q44" s="7">
        <f t="shared" si="11"/>
        <v>111</v>
      </c>
      <c r="R44" s="1342" t="s">
        <v>102</v>
      </c>
      <c r="S44" s="1343">
        <f t="shared" si="12"/>
        <v>100</v>
      </c>
      <c r="T44" s="1342" t="s">
        <v>102</v>
      </c>
      <c r="U44" s="1343">
        <f t="shared" si="13"/>
        <v>100</v>
      </c>
      <c r="V44" s="1342" t="s">
        <v>102</v>
      </c>
      <c r="W44" s="1343">
        <f t="shared" si="14"/>
        <v>100</v>
      </c>
      <c r="X44" s="287"/>
      <c r="Y44" s="363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37"/>
      <c r="Q45" s="1351">
        <f t="shared" si="11"/>
        <v>111</v>
      </c>
      <c r="R45" s="1352" t="s">
        <v>102</v>
      </c>
      <c r="S45" s="1353">
        <f t="shared" si="12"/>
        <v>100</v>
      </c>
      <c r="T45" s="1352" t="s">
        <v>102</v>
      </c>
      <c r="U45" s="1353">
        <f t="shared" si="13"/>
        <v>100</v>
      </c>
      <c r="V45" s="1352" t="s">
        <v>102</v>
      </c>
      <c r="W45" s="1353">
        <f t="shared" si="14"/>
        <v>100</v>
      </c>
      <c r="X45" s="1340"/>
      <c r="Y45" s="363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8"/>
      <c r="Q46" s="1351">
        <f t="shared" si="11"/>
        <v>111</v>
      </c>
      <c r="R46" s="1352" t="s">
        <v>101</v>
      </c>
      <c r="S46" s="1353">
        <f t="shared" si="12"/>
        <v>100</v>
      </c>
      <c r="T46" s="1352" t="s">
        <v>101</v>
      </c>
      <c r="U46" s="1353">
        <f t="shared" si="13"/>
        <v>100</v>
      </c>
      <c r="V46" s="1352" t="s">
        <v>101</v>
      </c>
      <c r="W46" s="1353">
        <f t="shared" si="14"/>
        <v>100</v>
      </c>
      <c r="X46" s="1340"/>
      <c r="Y46" s="3640"/>
      <c r="Z46" s="1354">
        <f t="shared" si="18"/>
        <v>111</v>
      </c>
      <c r="AA46" s="1355">
        <f t="shared" si="15"/>
        <v>1</v>
      </c>
      <c r="AB46" s="1355">
        <f t="shared" si="16"/>
        <v>1</v>
      </c>
      <c r="AC46" s="1355">
        <f t="shared" si="17"/>
        <v>1</v>
      </c>
    </row>
    <row r="47" spans="1:29" ht="15">
      <c r="A47" s="163" t="s">
        <v>100</v>
      </c>
      <c r="B47" s="164"/>
      <c r="C47" s="2834" t="s">
        <v>99</v>
      </c>
      <c r="D47" s="2835"/>
      <c r="E47" s="2836"/>
      <c r="F47" s="2837"/>
      <c r="G47" s="2838"/>
      <c r="H47" s="2839"/>
      <c r="I47" s="2836"/>
      <c r="J47" s="2839"/>
      <c r="K47" s="1364"/>
      <c r="L47" s="2304"/>
      <c r="M47" s="2305"/>
      <c r="N47" s="2297"/>
      <c r="O47" s="2305"/>
      <c r="P47" s="3627" t="str">
        <f>A47</f>
        <v>成交单价（元/平方米）</v>
      </c>
      <c r="Q47" s="3627"/>
      <c r="R47" s="3628">
        <f>E47</f>
        <v>0</v>
      </c>
      <c r="S47" s="3628"/>
      <c r="T47" s="3628">
        <f>G47</f>
        <v>0</v>
      </c>
      <c r="U47" s="3628"/>
      <c r="V47" s="3628">
        <f>I47</f>
        <v>0</v>
      </c>
      <c r="W47" s="3628"/>
      <c r="X47" s="1365"/>
      <c r="Y47" s="1366"/>
      <c r="Z47" s="1365"/>
      <c r="AA47" s="1365"/>
      <c r="AB47" s="1365"/>
      <c r="AC47" s="1365"/>
    </row>
    <row r="48" spans="1:29" ht="15.75" thickBot="1">
      <c r="A48" s="165" t="s">
        <v>98</v>
      </c>
      <c r="B48" s="166"/>
      <c r="C48" s="2840" t="e">
        <f>R49</f>
        <v>#DIV/0!</v>
      </c>
      <c r="D48" s="2841"/>
      <c r="E48" s="2842" t="e">
        <f>R48</f>
        <v>#DIV/0!</v>
      </c>
      <c r="F48" s="2842"/>
      <c r="G48" s="2840" t="e">
        <f>T48</f>
        <v>#DIV/0!</v>
      </c>
      <c r="H48" s="2841"/>
      <c r="I48" s="2842" t="e">
        <f>V48</f>
        <v>#DIV/0!</v>
      </c>
      <c r="J48" s="2841"/>
      <c r="K48" s="1367"/>
      <c r="L48" s="2304"/>
      <c r="M48" s="2305"/>
      <c r="N48" s="2305"/>
      <c r="O48" s="2305"/>
      <c r="P48" s="3627" t="str">
        <f>A48</f>
        <v>比较价值（元/平方米）</v>
      </c>
      <c r="Q48" s="3627"/>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1365"/>
      <c r="Y48" s="1365"/>
      <c r="Z48" s="1365"/>
      <c r="AA48" s="1365"/>
      <c r="AB48" s="1365"/>
      <c r="AC48" s="1365"/>
    </row>
    <row r="49" spans="1:29" ht="15.75" thickBot="1">
      <c r="A49" s="115" t="s">
        <v>3014</v>
      </c>
      <c r="B49" s="116"/>
      <c r="C49" s="2843" t="e">
        <f>R49</f>
        <v>#DIV/0!</v>
      </c>
      <c r="D49" s="2844"/>
      <c r="E49" s="2844"/>
      <c r="F49" s="2844"/>
      <c r="G49" s="2844"/>
      <c r="H49" s="2844"/>
      <c r="I49" s="2844"/>
      <c r="J49" s="2844"/>
      <c r="K49" s="1368"/>
      <c r="L49" s="2304"/>
      <c r="M49" s="2305"/>
      <c r="N49" s="2305"/>
      <c r="O49" s="2305"/>
      <c r="P49" s="3629" t="str">
        <f>A49</f>
        <v>估价对象XX用房的比较价值（楼面单价，元/平方米）</v>
      </c>
      <c r="Q49" s="3630"/>
      <c r="R49" s="3631" t="e">
        <f>IF(F1="售价",ROUND(AVERAGE(R48:V48),0),ROUND(AVERAGE(R48:V48),1))</f>
        <v>#DIV/0!</v>
      </c>
      <c r="S49" s="3631"/>
      <c r="T49" s="3631"/>
      <c r="U49" s="3631"/>
      <c r="V49" s="3631"/>
      <c r="W49" s="363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125</v>
      </c>
      <c r="B57" s="1365"/>
      <c r="C57" s="1373"/>
      <c r="D57" s="1373"/>
      <c r="E57" s="1373"/>
      <c r="F57" s="1374"/>
      <c r="G57" s="1374"/>
      <c r="H57" s="1373"/>
      <c r="I57" s="1373"/>
      <c r="J57" s="1373"/>
      <c r="K57" s="2311"/>
      <c r="L57" s="2312"/>
      <c r="M57" s="2313"/>
      <c r="N57" s="2313"/>
      <c r="O57" s="2313"/>
      <c r="P57" s="1376"/>
      <c r="Q57" s="121"/>
    </row>
    <row r="58" spans="1:29" s="851" customFormat="1" ht="15">
      <c r="A58" s="848" t="s">
        <v>2794</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116</v>
      </c>
      <c r="B60" s="1048"/>
      <c r="C60" s="860"/>
      <c r="D60" s="861"/>
      <c r="E60" s="861"/>
      <c r="F60" s="861"/>
      <c r="G60" s="861"/>
      <c r="H60" s="861"/>
      <c r="I60" s="861"/>
      <c r="J60" s="861"/>
      <c r="K60" s="861"/>
      <c r="L60" s="861"/>
      <c r="M60" s="862"/>
      <c r="N60" s="861"/>
      <c r="O60" s="862"/>
      <c r="P60" s="1377"/>
      <c r="Q60" s="121"/>
    </row>
    <row r="61" spans="1:29" s="40" customFormat="1">
      <c r="A61" s="1049" t="s">
        <v>64</v>
      </c>
      <c r="B61" s="1046"/>
      <c r="C61" s="1050" t="s">
        <v>114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65</v>
      </c>
      <c r="B63" s="286" t="s">
        <v>66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91</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67</v>
      </c>
      <c r="B76" s="286" t="s">
        <v>108</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90</v>
      </c>
      <c r="C78" s="921" t="s">
        <v>1015</v>
      </c>
      <c r="D78" s="921" t="s">
        <v>1016</v>
      </c>
      <c r="E78" s="921" t="s">
        <v>1017</v>
      </c>
      <c r="F78" s="921" t="s">
        <v>1018</v>
      </c>
      <c r="G78" s="921" t="s">
        <v>1019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1015</v>
      </c>
      <c r="D80" s="921" t="s">
        <v>1016</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96</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95</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68</v>
      </c>
      <c r="B100" s="286" t="s">
        <v>121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94</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109</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122</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110</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111</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103</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92</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2295</v>
      </c>
    </row>
    <row r="137" spans="1:17" ht="14.25">
      <c r="B137" s="2143" t="s">
        <v>2296</v>
      </c>
      <c r="C137" s="2144"/>
      <c r="D137" s="2144"/>
      <c r="E137" s="2144"/>
      <c r="F137" s="2144"/>
      <c r="G137" s="2145"/>
      <c r="H137" s="2146"/>
      <c r="I137" s="2147" t="s">
        <v>2297</v>
      </c>
      <c r="J137" s="2144"/>
      <c r="K137" s="2148"/>
    </row>
    <row r="138" spans="1:17" ht="14.25">
      <c r="B138" s="2149"/>
      <c r="C138" s="1778" t="s">
        <v>2298</v>
      </c>
      <c r="D138" s="1778" t="s">
        <v>2299</v>
      </c>
      <c r="E138" s="2150" t="s">
        <v>2300</v>
      </c>
      <c r="F138" s="2151" t="s">
        <v>2301</v>
      </c>
      <c r="G138" s="1778" t="s">
        <v>2299</v>
      </c>
      <c r="H138" s="2152" t="s">
        <v>2300</v>
      </c>
      <c r="I138" s="2153"/>
      <c r="J138" s="1778" t="s">
        <v>2302</v>
      </c>
      <c r="K138" s="2152" t="s">
        <v>2303</v>
      </c>
    </row>
    <row r="139" spans="1:17" ht="15">
      <c r="B139" s="2154">
        <v>6</v>
      </c>
      <c r="C139" s="2155">
        <v>96</v>
      </c>
      <c r="D139" s="2156" t="s">
        <v>2304</v>
      </c>
      <c r="E139" s="2157">
        <v>100</v>
      </c>
      <c r="F139" s="2158">
        <v>102.5</v>
      </c>
      <c r="G139" s="2156" t="s">
        <v>2304</v>
      </c>
      <c r="H139" s="2159">
        <v>105</v>
      </c>
      <c r="I139" s="2160" t="s">
        <v>2305</v>
      </c>
      <c r="J139" s="2155">
        <v>20</v>
      </c>
      <c r="K139" s="2161">
        <f>C145/(J139-2)</f>
        <v>4.0555555555555553E-3</v>
      </c>
    </row>
    <row r="140" spans="1:17" ht="15">
      <c r="B140" s="2162">
        <v>5</v>
      </c>
      <c r="C140" s="2163">
        <v>100</v>
      </c>
      <c r="D140" s="2164"/>
      <c r="E140" s="2165"/>
      <c r="F140" s="2166">
        <v>102</v>
      </c>
      <c r="G140" s="2164"/>
      <c r="H140" s="2167"/>
      <c r="I140" s="2168" t="s">
        <v>2306</v>
      </c>
      <c r="J140" s="647">
        <f>ROUNDUP((J139-1)/2,0)</f>
        <v>10</v>
      </c>
      <c r="K140" s="2169">
        <v>100</v>
      </c>
    </row>
    <row r="141" spans="1:17" ht="15">
      <c r="B141" s="2162">
        <v>4</v>
      </c>
      <c r="C141" s="2163">
        <v>102</v>
      </c>
      <c r="D141" s="2164"/>
      <c r="E141" s="2165"/>
      <c r="F141" s="2166">
        <v>101.5</v>
      </c>
      <c r="G141" s="2164"/>
      <c r="H141" s="2167"/>
      <c r="I141" s="2168" t="s">
        <v>2307</v>
      </c>
      <c r="J141" s="647">
        <v>1</v>
      </c>
      <c r="K141" s="2170">
        <f>ROUND(100+(J141-J140)*K139*100,1)</f>
        <v>96.4</v>
      </c>
    </row>
    <row r="142" spans="1:17" ht="15">
      <c r="B142" s="2162">
        <v>3</v>
      </c>
      <c r="C142" s="2163">
        <v>103</v>
      </c>
      <c r="D142" s="2164"/>
      <c r="E142" s="2165"/>
      <c r="F142" s="2166">
        <v>101</v>
      </c>
      <c r="G142" s="2164"/>
      <c r="H142" s="2167"/>
      <c r="I142" s="2168" t="s">
        <v>2308</v>
      </c>
      <c r="J142" s="647">
        <f>J139</f>
        <v>20</v>
      </c>
      <c r="K142" s="2171">
        <v>95</v>
      </c>
    </row>
    <row r="143" spans="1:17" ht="15">
      <c r="B143" s="2162">
        <v>2</v>
      </c>
      <c r="C143" s="2163">
        <v>100</v>
      </c>
      <c r="D143" s="2164"/>
      <c r="E143" s="2165"/>
      <c r="F143" s="2166">
        <v>100.5</v>
      </c>
      <c r="G143" s="2164"/>
      <c r="H143" s="2167"/>
      <c r="I143" s="2168" t="s">
        <v>2309</v>
      </c>
      <c r="J143" s="2163">
        <v>15</v>
      </c>
      <c r="K143" s="2170">
        <f>ROUND(100+(J143-J140)*K139*100,1)</f>
        <v>102</v>
      </c>
    </row>
    <row r="144" spans="1:17" ht="15">
      <c r="B144" s="2162">
        <v>1</v>
      </c>
      <c r="C144" s="2163">
        <v>98</v>
      </c>
      <c r="D144" s="1160" t="s">
        <v>2310</v>
      </c>
      <c r="E144" s="2165">
        <v>102</v>
      </c>
      <c r="F144" s="2172">
        <v>100</v>
      </c>
      <c r="G144" s="1160" t="s">
        <v>2310</v>
      </c>
      <c r="H144" s="2167">
        <v>105</v>
      </c>
      <c r="I144" s="2168" t="s">
        <v>2309</v>
      </c>
      <c r="J144" s="2163">
        <v>18</v>
      </c>
      <c r="K144" s="2170">
        <f>ROUND(100+(J144-J140)*K139*100,1)</f>
        <v>103.2</v>
      </c>
    </row>
    <row r="145" spans="2:11" ht="15.75" thickBot="1">
      <c r="B145" s="2173" t="s">
        <v>2311</v>
      </c>
      <c r="C145" s="2174">
        <f>ROUND(MAX(C139:C144)/MIN(C139:C144)-1,3)</f>
        <v>7.2999999999999995E-2</v>
      </c>
      <c r="D145" s="2175"/>
      <c r="E145" s="2176"/>
      <c r="F145" s="2177" t="s">
        <v>2312</v>
      </c>
      <c r="G145" s="2178"/>
      <c r="H145" s="2179"/>
      <c r="I145" s="2180" t="s">
        <v>2313</v>
      </c>
      <c r="J145" s="2181">
        <v>8</v>
      </c>
      <c r="K145" s="2182">
        <f>ROUND(100+(J145-J140)*K139*100,1)</f>
        <v>99.2</v>
      </c>
    </row>
    <row r="147" spans="2:11">
      <c r="B147" s="2142" t="s">
        <v>2321</v>
      </c>
    </row>
    <row r="148" spans="2:11">
      <c r="B148" s="2142"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2008</v>
      </c>
    </row>
    <row r="2" spans="1:1">
      <c r="A2" s="1947"/>
    </row>
    <row r="3" spans="1:1" ht="18.75">
      <c r="A3" s="2887" t="str">
        <f>项目基本情况!B5&amp;"："</f>
        <v>李斌：</v>
      </c>
    </row>
    <row r="4" spans="1:1" ht="37.5">
      <c r="A4" s="1948" t="str">
        <f>"受贵公司委托，我公司对"&amp;项目基本情况!S1&amp;"进行了预评估。"</f>
        <v>受贵公司委托，我公司对北京市海淀区金夕园甲1号三段-1至3层商业用房房地产房地产抵押价值进行了预评估。</v>
      </c>
    </row>
    <row r="5" spans="1:1" ht="18.75">
      <c r="A5" s="1949" t="s">
        <v>2009</v>
      </c>
    </row>
    <row r="6" spans="1:1" ht="18.75">
      <c r="A6" s="3053" t="s">
        <v>2867</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金夕园甲1号三段-1至3层商业用房房地产房地产，为李斌所有。根据，估价对象（分摊）出让国有建设用地使用权面积为0平方米。根据《房屋所有权证》[X京房权证海私字第007101号]，估价对象建筑面积为3441.66平方米。</v>
      </c>
    </row>
    <row r="8" spans="1:1" ht="56.25">
      <c r="A8" s="1992" t="s">
        <v>2861</v>
      </c>
    </row>
    <row r="9" spans="1:1" ht="18.75">
      <c r="A9" s="3053" t="s">
        <v>2868</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金夕园甲1号三段-1至3层商业用房房地产房地产,属李斌开发建设的商业项目，该项目尚在开发建设中。根据，估价对象（分摊）出让国有建设用地使用权面积为0平方米。根据《房屋所有权证》[X京房权证海私字第007101号]，估价对象规划建筑面积为3441.66平方米。</v>
      </c>
    </row>
    <row r="11" spans="1:1" ht="75">
      <c r="A11" s="1992" t="s">
        <v>2902</v>
      </c>
    </row>
    <row r="12" spans="1:1" ht="18.75">
      <c r="A12" s="1949" t="s">
        <v>2010</v>
      </c>
    </row>
    <row r="13" spans="1:1" ht="38.25" customHeight="1">
      <c r="A13" s="1950" t="str">
        <f>IF(项目基本情况!B8="抵押",IF(项目基本情况!B5=项目基本情况!B6,定义!C51,定义!B51),定义!D51)</f>
        <v>为估价委托人在向民生银行南昌支行办理贷款手续过程中，确定房地产抵押贷款额度提供参考依据而评估房地产抵押价值。</v>
      </c>
    </row>
    <row r="14" spans="1:1" ht="18.75">
      <c r="A14" s="1951" t="s">
        <v>2011</v>
      </c>
    </row>
    <row r="15" spans="1:1" ht="18.75">
      <c r="A15" s="1952" t="str">
        <f>TEXT(项目基本情况!D3,"yyyy年m月d日;;")&amp;IF(项目基本情况!D3=项目基本情况!B3,"（评估专业人员实地查勘之日）","")</f>
        <v>2017年9月19日（评估专业人员实地查勘之日）</v>
      </c>
    </row>
    <row r="16" spans="1:1" ht="18.75">
      <c r="A16" s="1951" t="s">
        <v>2013</v>
      </c>
    </row>
    <row r="17" spans="1:1" ht="75">
      <c r="A17" s="1948" t="s">
        <v>2862</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19日，估价对象规划用途为商业，土地取得方式为出让，出让国有建设用地使用权剩余土地使用年限为商业24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2028</v>
      </c>
    </row>
    <row r="24" spans="1:1" ht="18.75">
      <c r="A24" s="1955" t="str">
        <f>"本次评估采用的主估价方法为"&amp;结果表!K4&amp;"和"&amp;结果表!L4&amp;"。"</f>
        <v>本次评估采用的主估价方法为基准地价系数修正法和收益法。</v>
      </c>
    </row>
    <row r="25" spans="1:1" ht="18.75">
      <c r="A25" s="1955"/>
    </row>
    <row r="26" spans="1:1" ht="18.75">
      <c r="A26" s="2084" t="s">
        <v>2108</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1067</v>
      </c>
      <c r="B1" s="3119" t="s">
        <v>1068</v>
      </c>
      <c r="C1" s="3113" t="s">
        <v>1069</v>
      </c>
      <c r="D1" s="3104"/>
      <c r="E1" s="3109"/>
      <c r="F1" s="3106"/>
      <c r="G1" s="3108" t="s">
        <v>1070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1071</v>
      </c>
      <c r="B2" s="2845" t="e">
        <f ca="1">IF(C2="——",ROUND(C50*D3/10000,0),ROUND(C50*D3/10000,0)-D2)</f>
        <v>#DIV/0!</v>
      </c>
      <c r="C2" s="3098"/>
      <c r="D2" s="2725" t="e">
        <f ca="1">SUMIF(INDIRECT("'"&amp;F2&amp;"'"&amp;"!A:A"),"承租人权益价值",INDIRECT("'"&amp;F2&amp;"'"&amp;"!c:c"))</f>
        <v>#REF!</v>
      </c>
      <c r="E2" s="3099" t="s">
        <v>867</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1072</v>
      </c>
      <c r="B3" s="952" t="e">
        <f ca="1">IF(C2="——",C50,ROUND(B2*10000/D3,0))</f>
        <v>#DIV/0!</v>
      </c>
      <c r="C3" s="142" t="s">
        <v>1073</v>
      </c>
      <c r="D3" s="742">
        <f>IF(D1="",'数据-汇总表'!E3,SUMIF('数据-汇总表'!$C19:$C33,D1,'数据-汇总表'!$E19:$E33))</f>
        <v>3441.66</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1074</v>
      </c>
      <c r="B4" s="144"/>
      <c r="C4" s="3646" t="s">
        <v>1075</v>
      </c>
      <c r="D4" s="3647"/>
      <c r="E4" s="3648" t="s">
        <v>1076</v>
      </c>
      <c r="F4" s="3649"/>
      <c r="G4" s="3646" t="s">
        <v>1077</v>
      </c>
      <c r="H4" s="3647"/>
      <c r="I4" s="3646" t="s">
        <v>1078</v>
      </c>
      <c r="J4" s="3647"/>
      <c r="K4" s="187" t="s">
        <v>1079</v>
      </c>
      <c r="L4" s="2296"/>
      <c r="M4" s="2297"/>
      <c r="N4" s="2297"/>
      <c r="O4" s="2297"/>
      <c r="P4" s="3712" t="s">
        <v>1074</v>
      </c>
      <c r="Q4" s="3713"/>
      <c r="R4" s="3716" t="s">
        <v>1076</v>
      </c>
      <c r="S4" s="3717"/>
      <c r="T4" s="3716" t="s">
        <v>1077</v>
      </c>
      <c r="U4" s="3717"/>
      <c r="V4" s="3718" t="s">
        <v>1078</v>
      </c>
      <c r="W4" s="3718"/>
      <c r="X4" s="2336"/>
      <c r="Y4" s="3716" t="s">
        <v>1074</v>
      </c>
      <c r="Z4" s="3717"/>
      <c r="AA4" s="3720" t="s">
        <v>1076</v>
      </c>
      <c r="AB4" s="3720" t="s">
        <v>1077</v>
      </c>
      <c r="AC4" s="3709" t="s">
        <v>1078</v>
      </c>
    </row>
    <row r="5" spans="1:29">
      <c r="A5" s="146"/>
      <c r="B5" s="147"/>
      <c r="C5" s="3664" t="s">
        <v>1080</v>
      </c>
      <c r="D5" s="3665"/>
      <c r="E5" s="3671" t="s">
        <v>1081</v>
      </c>
      <c r="F5" s="3672"/>
      <c r="G5" s="3664" t="s">
        <v>1082</v>
      </c>
      <c r="H5" s="3665"/>
      <c r="I5" s="3664" t="s">
        <v>1083</v>
      </c>
      <c r="J5" s="3665"/>
      <c r="K5" s="187"/>
      <c r="L5" s="2296"/>
      <c r="M5" s="2297"/>
      <c r="N5" s="2297"/>
      <c r="O5" s="2297"/>
      <c r="P5" s="3714"/>
      <c r="Q5" s="3653"/>
      <c r="R5" s="3658"/>
      <c r="S5" s="3659"/>
      <c r="T5" s="3658"/>
      <c r="U5" s="3659"/>
      <c r="V5" s="3641"/>
      <c r="W5" s="3641"/>
      <c r="X5" s="2222"/>
      <c r="Y5" s="3658"/>
      <c r="Z5" s="3659"/>
      <c r="AA5" s="3644"/>
      <c r="AB5" s="3644"/>
      <c r="AC5" s="3710"/>
    </row>
    <row r="6" spans="1:29" ht="14.25" thickBot="1">
      <c r="A6" s="148"/>
      <c r="B6" s="149"/>
      <c r="C6" s="3662" t="s">
        <v>1084</v>
      </c>
      <c r="D6" s="3663"/>
      <c r="E6" s="3669" t="s">
        <v>1084</v>
      </c>
      <c r="F6" s="3670"/>
      <c r="G6" s="3662" t="s">
        <v>1084</v>
      </c>
      <c r="H6" s="3663"/>
      <c r="I6" s="3662" t="s">
        <v>1084</v>
      </c>
      <c r="J6" s="3663"/>
      <c r="K6" s="187" t="s">
        <v>1085</v>
      </c>
      <c r="L6" s="2296"/>
      <c r="M6" s="2297"/>
      <c r="N6" s="2297"/>
      <c r="O6" s="2297"/>
      <c r="P6" s="3715"/>
      <c r="Q6" s="3655"/>
      <c r="R6" s="3658"/>
      <c r="S6" s="3659"/>
      <c r="T6" s="3660"/>
      <c r="U6" s="3661"/>
      <c r="V6" s="3641"/>
      <c r="W6" s="3641"/>
      <c r="X6" s="2222"/>
      <c r="Y6" s="3660"/>
      <c r="Z6" s="3661"/>
      <c r="AA6" s="3645"/>
      <c r="AB6" s="3645"/>
      <c r="AC6" s="3711"/>
    </row>
    <row r="7" spans="1:29" s="40" customFormat="1" ht="15" thickBot="1">
      <c r="A7" s="1014" t="s">
        <v>1086</v>
      </c>
      <c r="B7" s="1015"/>
      <c r="C7" s="753">
        <f>'数据-取费表'!B2</f>
        <v>42997</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719" t="s">
        <v>1086</v>
      </c>
      <c r="Q7" s="3668"/>
      <c r="R7" s="1342" t="s">
        <v>63</v>
      </c>
      <c r="S7" s="1343">
        <f t="shared" ref="S7:S15" si="0">F7</f>
        <v>0</v>
      </c>
      <c r="T7" s="1342" t="s">
        <v>63</v>
      </c>
      <c r="U7" s="1343">
        <f t="shared" ref="U7:U15" si="1">H7</f>
        <v>0</v>
      </c>
      <c r="V7" s="1342" t="s">
        <v>63</v>
      </c>
      <c r="W7" s="1343">
        <f t="shared" ref="W7:W15" si="2">J7</f>
        <v>0</v>
      </c>
      <c r="X7" s="287"/>
      <c r="Y7" s="3666" t="s">
        <v>1086</v>
      </c>
      <c r="Z7" s="3667"/>
      <c r="AA7" s="1344" t="e">
        <f>D7/F7</f>
        <v>#DIV/0!</v>
      </c>
      <c r="AB7" s="1344" t="e">
        <f>D7/H7</f>
        <v>#DIV/0!</v>
      </c>
      <c r="AC7" s="2337" t="e">
        <f>D7/J7</f>
        <v>#DIV/0!</v>
      </c>
    </row>
    <row r="8" spans="1:29" s="40" customFormat="1" ht="15" thickBot="1">
      <c r="A8" s="1014" t="s">
        <v>1087</v>
      </c>
      <c r="B8" s="1015"/>
      <c r="C8" s="1020" t="s">
        <v>1088</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719" t="s">
        <v>1020</v>
      </c>
      <c r="Q8" s="3667"/>
      <c r="R8" s="1342" t="s">
        <v>63</v>
      </c>
      <c r="S8" s="1343">
        <f t="shared" si="0"/>
        <v>0</v>
      </c>
      <c r="T8" s="1342" t="s">
        <v>63</v>
      </c>
      <c r="U8" s="1343">
        <f t="shared" si="1"/>
        <v>0</v>
      </c>
      <c r="V8" s="1342" t="s">
        <v>63</v>
      </c>
      <c r="W8" s="1343">
        <f t="shared" si="2"/>
        <v>0</v>
      </c>
      <c r="X8" s="287"/>
      <c r="Y8" s="3666" t="s">
        <v>1020</v>
      </c>
      <c r="Z8" s="3667"/>
      <c r="AA8" s="1344" t="e">
        <f t="shared" ref="AA8:AA47" si="3">D8/F8</f>
        <v>#DIV/0!</v>
      </c>
      <c r="AB8" s="1344" t="e">
        <f t="shared" ref="AB8:AB47" si="4">D8/H8</f>
        <v>#DIV/0!</v>
      </c>
      <c r="AC8" s="2337" t="e">
        <f t="shared" ref="AC8:AC47" si="5">D8/J8</f>
        <v>#DIV/0!</v>
      </c>
    </row>
    <row r="9" spans="1:29" s="40" customFormat="1" ht="14.25">
      <c r="A9" s="1021" t="s">
        <v>1021</v>
      </c>
      <c r="B9" s="62" t="s">
        <v>1022</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42" t="s">
        <v>65</v>
      </c>
      <c r="Q9" s="2213" t="str">
        <f t="shared" ref="Q9:Q15" si="6">B9</f>
        <v>用途</v>
      </c>
      <c r="R9" s="1342" t="s">
        <v>63</v>
      </c>
      <c r="S9" s="1343">
        <f t="shared" si="0"/>
        <v>100</v>
      </c>
      <c r="T9" s="1342" t="s">
        <v>63</v>
      </c>
      <c r="U9" s="1343">
        <f t="shared" si="1"/>
        <v>100</v>
      </c>
      <c r="V9" s="1342" t="s">
        <v>63</v>
      </c>
      <c r="W9" s="1343">
        <f t="shared" si="2"/>
        <v>100</v>
      </c>
      <c r="X9" s="287"/>
      <c r="Y9" s="3473" t="s">
        <v>65</v>
      </c>
      <c r="Z9" s="2212" t="str">
        <f t="shared" ref="Z9:Z15" si="7">Q9</f>
        <v>用途</v>
      </c>
      <c r="AA9" s="1344">
        <f t="shared" si="3"/>
        <v>1</v>
      </c>
      <c r="AB9" s="1344">
        <f t="shared" si="4"/>
        <v>1</v>
      </c>
      <c r="AC9" s="2337">
        <f t="shared" si="5"/>
        <v>1</v>
      </c>
    </row>
    <row r="10" spans="1:29" s="92" customFormat="1" ht="27">
      <c r="A10" s="150"/>
      <c r="B10" s="12" t="s">
        <v>104</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42"/>
      <c r="Q10" s="2213" t="str">
        <f t="shared" si="6"/>
        <v>土地使用年限（年）</v>
      </c>
      <c r="R10" s="1342" t="s">
        <v>63</v>
      </c>
      <c r="S10" s="1343">
        <f t="shared" si="0"/>
        <v>100</v>
      </c>
      <c r="T10" s="1342" t="s">
        <v>63</v>
      </c>
      <c r="U10" s="1343">
        <f t="shared" si="1"/>
        <v>100</v>
      </c>
      <c r="V10" s="1342" t="s">
        <v>63</v>
      </c>
      <c r="W10" s="1343">
        <f t="shared" si="2"/>
        <v>100</v>
      </c>
      <c r="X10" s="287"/>
      <c r="Y10" s="3473"/>
      <c r="Z10" s="2212" t="str">
        <f t="shared" si="7"/>
        <v>土地使用年限（年）</v>
      </c>
      <c r="AA10" s="1344">
        <f t="shared" si="3"/>
        <v>1</v>
      </c>
      <c r="AB10" s="1344">
        <f t="shared" si="4"/>
        <v>1</v>
      </c>
      <c r="AC10" s="2337">
        <f t="shared" si="5"/>
        <v>1</v>
      </c>
    </row>
    <row r="11" spans="1:29" ht="15">
      <c r="A11" s="151"/>
      <c r="B11" s="12" t="s">
        <v>91</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42"/>
      <c r="Q11" s="2213" t="str">
        <f t="shared" si="6"/>
        <v>容积率</v>
      </c>
      <c r="R11" s="1342" t="s">
        <v>63</v>
      </c>
      <c r="S11" s="1343" t="e">
        <f t="shared" si="0"/>
        <v>#N/A</v>
      </c>
      <c r="T11" s="1342" t="s">
        <v>63</v>
      </c>
      <c r="U11" s="1343" t="e">
        <f t="shared" si="1"/>
        <v>#N/A</v>
      </c>
      <c r="V11" s="1342" t="s">
        <v>63</v>
      </c>
      <c r="W11" s="1343" t="e">
        <f t="shared" si="2"/>
        <v>#N/A</v>
      </c>
      <c r="X11" s="287"/>
      <c r="Y11" s="3473"/>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42"/>
      <c r="Q12" s="2213">
        <f t="shared" si="6"/>
        <v>111</v>
      </c>
      <c r="R12" s="1342" t="s">
        <v>63</v>
      </c>
      <c r="S12" s="1343">
        <f t="shared" si="0"/>
        <v>100</v>
      </c>
      <c r="T12" s="1342" t="s">
        <v>63</v>
      </c>
      <c r="U12" s="1343">
        <f t="shared" si="1"/>
        <v>100</v>
      </c>
      <c r="V12" s="1342" t="s">
        <v>63</v>
      </c>
      <c r="W12" s="1343">
        <f t="shared" si="2"/>
        <v>100</v>
      </c>
      <c r="X12" s="287"/>
      <c r="Y12" s="3473"/>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42"/>
      <c r="Q13" s="2213">
        <f t="shared" si="6"/>
        <v>111</v>
      </c>
      <c r="R13" s="1342" t="s">
        <v>63</v>
      </c>
      <c r="S13" s="1343">
        <f t="shared" si="0"/>
        <v>100</v>
      </c>
      <c r="T13" s="1342" t="s">
        <v>63</v>
      </c>
      <c r="U13" s="1343">
        <f t="shared" si="1"/>
        <v>100</v>
      </c>
      <c r="V13" s="1342" t="s">
        <v>63</v>
      </c>
      <c r="W13" s="1343">
        <f t="shared" si="2"/>
        <v>100</v>
      </c>
      <c r="X13" s="287"/>
      <c r="Y13" s="3473"/>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42"/>
      <c r="Q14" s="2213">
        <f t="shared" si="6"/>
        <v>111</v>
      </c>
      <c r="R14" s="1342" t="s">
        <v>63</v>
      </c>
      <c r="S14" s="1343">
        <f t="shared" si="0"/>
        <v>100</v>
      </c>
      <c r="T14" s="1342" t="s">
        <v>63</v>
      </c>
      <c r="U14" s="1343">
        <f t="shared" si="1"/>
        <v>100</v>
      </c>
      <c r="V14" s="1342" t="s">
        <v>63</v>
      </c>
      <c r="W14" s="1343">
        <f t="shared" si="2"/>
        <v>100</v>
      </c>
      <c r="X14" s="287"/>
      <c r="Y14" s="3473"/>
      <c r="Z14" s="2212">
        <f t="shared" si="7"/>
        <v>111</v>
      </c>
      <c r="AA14" s="1344">
        <f t="shared" si="3"/>
        <v>1</v>
      </c>
      <c r="AB14" s="1344">
        <f t="shared" si="4"/>
        <v>1</v>
      </c>
      <c r="AC14" s="2337">
        <f t="shared" si="5"/>
        <v>1</v>
      </c>
    </row>
    <row r="15" spans="1:29" ht="67.5">
      <c r="A15" s="155" t="s">
        <v>67</v>
      </c>
      <c r="B15" s="1033" t="s">
        <v>140</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2" t="s">
        <v>67</v>
      </c>
      <c r="Q15" s="2220" t="str">
        <f t="shared" si="6"/>
        <v>办公集聚程度</v>
      </c>
      <c r="R15" s="1352" t="s">
        <v>63</v>
      </c>
      <c r="S15" s="1353">
        <f t="shared" si="0"/>
        <v>100</v>
      </c>
      <c r="T15" s="1352" t="s">
        <v>63</v>
      </c>
      <c r="U15" s="1353">
        <f t="shared" si="1"/>
        <v>100</v>
      </c>
      <c r="V15" s="1352" t="s">
        <v>63</v>
      </c>
      <c r="W15" s="1353">
        <f t="shared" si="2"/>
        <v>100</v>
      </c>
      <c r="X15" s="2222"/>
      <c r="Y15" s="3634" t="s">
        <v>67</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33"/>
      <c r="Q16" s="2220"/>
      <c r="R16" s="1352"/>
      <c r="S16" s="1353"/>
      <c r="T16" s="1352"/>
      <c r="U16" s="1353"/>
      <c r="V16" s="1352"/>
      <c r="W16" s="1353"/>
      <c r="X16" s="2222"/>
      <c r="Y16" s="3635"/>
      <c r="Z16" s="2221"/>
      <c r="AA16" s="1355">
        <v>1</v>
      </c>
      <c r="AB16" s="1355">
        <v>1</v>
      </c>
      <c r="AC16" s="2338">
        <v>1</v>
      </c>
    </row>
    <row r="17" spans="1:29" ht="81">
      <c r="A17" s="151"/>
      <c r="B17" s="1034" t="s">
        <v>70</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33"/>
      <c r="Q17" s="2220" t="str">
        <f>B17</f>
        <v>交通便捷度</v>
      </c>
      <c r="R17" s="1352" t="s">
        <v>63</v>
      </c>
      <c r="S17" s="1353">
        <f>F17</f>
        <v>100</v>
      </c>
      <c r="T17" s="1352" t="s">
        <v>63</v>
      </c>
      <c r="U17" s="1353">
        <f>H17</f>
        <v>100</v>
      </c>
      <c r="V17" s="1352" t="s">
        <v>63</v>
      </c>
      <c r="W17" s="1353">
        <f>J17</f>
        <v>100</v>
      </c>
      <c r="X17" s="2222"/>
      <c r="Y17" s="3635"/>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33"/>
      <c r="Q18" s="2220"/>
      <c r="R18" s="1352"/>
      <c r="S18" s="1353"/>
      <c r="T18" s="1352"/>
      <c r="U18" s="1353"/>
      <c r="V18" s="1352"/>
      <c r="W18" s="1353"/>
      <c r="X18" s="2222"/>
      <c r="Y18" s="3635"/>
      <c r="Z18" s="2221"/>
      <c r="AA18" s="1355">
        <v>1</v>
      </c>
      <c r="AB18" s="1355">
        <v>1</v>
      </c>
      <c r="AC18" s="2338">
        <v>1</v>
      </c>
    </row>
    <row r="19" spans="1:29" ht="40.5">
      <c r="A19" s="151"/>
      <c r="B19" s="1034" t="s">
        <v>2660</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33"/>
      <c r="Q19" s="2220" t="str">
        <f>B19</f>
        <v>公共配套设施</v>
      </c>
      <c r="R19" s="1352" t="s">
        <v>63</v>
      </c>
      <c r="S19" s="1353">
        <f>F19</f>
        <v>100</v>
      </c>
      <c r="T19" s="1352" t="s">
        <v>63</v>
      </c>
      <c r="U19" s="1353">
        <f>H19</f>
        <v>100</v>
      </c>
      <c r="V19" s="1352" t="s">
        <v>63</v>
      </c>
      <c r="W19" s="1353">
        <f>J19</f>
        <v>100</v>
      </c>
      <c r="X19" s="2222"/>
      <c r="Y19" s="3635"/>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33"/>
      <c r="Q20" s="2220"/>
      <c r="R20" s="1352"/>
      <c r="S20" s="1353"/>
      <c r="T20" s="1352"/>
      <c r="U20" s="1353"/>
      <c r="V20" s="1352"/>
      <c r="W20" s="1353"/>
      <c r="X20" s="2222"/>
      <c r="Y20" s="3635"/>
      <c r="Z20" s="2221"/>
      <c r="AA20" s="1355">
        <v>1</v>
      </c>
      <c r="AB20" s="1355">
        <v>1</v>
      </c>
      <c r="AC20" s="2338">
        <v>1</v>
      </c>
    </row>
    <row r="21" spans="1:29" ht="27">
      <c r="A21" s="151"/>
      <c r="B21" s="1036" t="s">
        <v>2661</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33"/>
      <c r="Q21" s="2747" t="str">
        <f>B21</f>
        <v>基础设施水平</v>
      </c>
      <c r="R21" s="1352" t="s">
        <v>63</v>
      </c>
      <c r="S21" s="1353">
        <f>F21</f>
        <v>100</v>
      </c>
      <c r="T21" s="1352" t="s">
        <v>63</v>
      </c>
      <c r="U21" s="1353">
        <f>H21</f>
        <v>100</v>
      </c>
      <c r="V21" s="1352" t="s">
        <v>63</v>
      </c>
      <c r="W21" s="1353">
        <f>J21</f>
        <v>100</v>
      </c>
      <c r="X21" s="2749"/>
      <c r="Y21" s="3635"/>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33"/>
      <c r="Q22" s="2747"/>
      <c r="R22" s="1352"/>
      <c r="S22" s="1353"/>
      <c r="T22" s="1352"/>
      <c r="U22" s="1353"/>
      <c r="V22" s="1352"/>
      <c r="W22" s="1353"/>
      <c r="X22" s="2749"/>
      <c r="Y22" s="3635"/>
      <c r="Z22" s="2748"/>
      <c r="AA22" s="1355">
        <v>1</v>
      </c>
      <c r="AB22" s="1355">
        <v>1</v>
      </c>
      <c r="AC22" s="2338">
        <v>1</v>
      </c>
    </row>
    <row r="23" spans="1:29" ht="54">
      <c r="A23" s="151"/>
      <c r="B23" s="1034" t="s">
        <v>141</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33"/>
      <c r="Q23" s="2220" t="str">
        <f>B23</f>
        <v>环境质量</v>
      </c>
      <c r="R23" s="1352" t="s">
        <v>63</v>
      </c>
      <c r="S23" s="1353">
        <f>F23</f>
        <v>100</v>
      </c>
      <c r="T23" s="1352" t="s">
        <v>63</v>
      </c>
      <c r="U23" s="1353">
        <f>H23</f>
        <v>100</v>
      </c>
      <c r="V23" s="1352" t="s">
        <v>63</v>
      </c>
      <c r="W23" s="1353">
        <f>J23</f>
        <v>100</v>
      </c>
      <c r="X23" s="2222"/>
      <c r="Y23" s="3635"/>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33"/>
      <c r="Q24" s="2220"/>
      <c r="R24" s="1352"/>
      <c r="S24" s="1353"/>
      <c r="T24" s="1352"/>
      <c r="U24" s="1353"/>
      <c r="V24" s="1352"/>
      <c r="W24" s="1353"/>
      <c r="X24" s="2222"/>
      <c r="Y24" s="3635"/>
      <c r="Z24" s="2221"/>
      <c r="AA24" s="1355">
        <v>1</v>
      </c>
      <c r="AB24" s="1355">
        <v>1</v>
      </c>
      <c r="AC24" s="2338">
        <v>1</v>
      </c>
    </row>
    <row r="25" spans="1:29" ht="27">
      <c r="A25" s="146"/>
      <c r="B25" s="1034" t="s">
        <v>142</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33"/>
      <c r="Q25" s="2220" t="str">
        <f>B25</f>
        <v>毗邻道路的类型与等级</v>
      </c>
      <c r="R25" s="1352" t="s">
        <v>63</v>
      </c>
      <c r="S25" s="1353">
        <f>F25</f>
        <v>100</v>
      </c>
      <c r="T25" s="1352" t="s">
        <v>63</v>
      </c>
      <c r="U25" s="1353">
        <f>H25</f>
        <v>100</v>
      </c>
      <c r="V25" s="1352" t="s">
        <v>63</v>
      </c>
      <c r="W25" s="1353">
        <f>J25</f>
        <v>100</v>
      </c>
      <c r="X25" s="2222"/>
      <c r="Y25" s="3635"/>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33"/>
      <c r="Q26" s="2220"/>
      <c r="R26" s="1352"/>
      <c r="S26" s="1353"/>
      <c r="T26" s="1352"/>
      <c r="U26" s="1353"/>
      <c r="V26" s="1352"/>
      <c r="W26" s="1353"/>
      <c r="X26" s="2222"/>
      <c r="Y26" s="3635"/>
      <c r="Z26" s="2221"/>
      <c r="AA26" s="1355">
        <v>1</v>
      </c>
      <c r="AB26" s="1355">
        <v>1</v>
      </c>
      <c r="AC26" s="2338">
        <v>1</v>
      </c>
    </row>
    <row r="27" spans="1:29" ht="15">
      <c r="A27" s="151"/>
      <c r="B27" s="1035" t="s">
        <v>1089</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33"/>
      <c r="Q27" s="2220" t="str">
        <f t="shared" ref="Q27:Q47" si="11">B27</f>
        <v>楼层</v>
      </c>
      <c r="R27" s="1352" t="s">
        <v>63</v>
      </c>
      <c r="S27" s="1353">
        <f>F27</f>
        <v>100</v>
      </c>
      <c r="T27" s="1352" t="s">
        <v>63</v>
      </c>
      <c r="U27" s="1353">
        <f>H27</f>
        <v>100</v>
      </c>
      <c r="V27" s="1352" t="s">
        <v>63</v>
      </c>
      <c r="W27" s="1353">
        <f>J27</f>
        <v>100</v>
      </c>
      <c r="X27" s="2222"/>
      <c r="Y27" s="3635"/>
      <c r="Z27" s="2221" t="str">
        <f>Q27</f>
        <v>楼层</v>
      </c>
      <c r="AA27" s="1355">
        <f t="shared" si="3"/>
        <v>1</v>
      </c>
      <c r="AB27" s="1355">
        <f t="shared" si="4"/>
        <v>1</v>
      </c>
      <c r="AC27" s="2338">
        <f t="shared" si="5"/>
        <v>1</v>
      </c>
    </row>
    <row r="28" spans="1:29" s="40" customFormat="1" ht="15">
      <c r="A28" s="1030"/>
      <c r="B28" s="1034" t="s">
        <v>143</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33"/>
      <c r="Q28" s="2213" t="str">
        <f t="shared" si="11"/>
        <v>朝向</v>
      </c>
      <c r="R28" s="1342" t="s">
        <v>63</v>
      </c>
      <c r="S28" s="1343">
        <f>F28</f>
        <v>100</v>
      </c>
      <c r="T28" s="1342" t="s">
        <v>63</v>
      </c>
      <c r="U28" s="1343">
        <f>H28</f>
        <v>100</v>
      </c>
      <c r="V28" s="1342" t="s">
        <v>63</v>
      </c>
      <c r="W28" s="1343">
        <f>J28</f>
        <v>100</v>
      </c>
      <c r="X28" s="287"/>
      <c r="Y28" s="3635"/>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33"/>
      <c r="Q29" s="2220">
        <f t="shared" si="11"/>
        <v>111</v>
      </c>
      <c r="R29" s="1352" t="s">
        <v>63</v>
      </c>
      <c r="S29" s="1353">
        <f t="shared" ref="S29:S47" si="12">F29</f>
        <v>100</v>
      </c>
      <c r="T29" s="1352" t="s">
        <v>63</v>
      </c>
      <c r="U29" s="1353">
        <f t="shared" ref="U29:U47" si="13">H29</f>
        <v>100</v>
      </c>
      <c r="V29" s="1352" t="s">
        <v>63</v>
      </c>
      <c r="W29" s="1353">
        <f t="shared" ref="W29:W47" si="14">J29</f>
        <v>100</v>
      </c>
      <c r="X29" s="2222"/>
      <c r="Y29" s="3635"/>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33"/>
      <c r="Q30" s="2220">
        <f t="shared" si="11"/>
        <v>111</v>
      </c>
      <c r="R30" s="1352" t="s">
        <v>63</v>
      </c>
      <c r="S30" s="1353">
        <f t="shared" si="12"/>
        <v>100</v>
      </c>
      <c r="T30" s="1352" t="s">
        <v>63</v>
      </c>
      <c r="U30" s="1353">
        <f t="shared" si="13"/>
        <v>100</v>
      </c>
      <c r="V30" s="1352" t="s">
        <v>63</v>
      </c>
      <c r="W30" s="1353">
        <f t="shared" si="14"/>
        <v>100</v>
      </c>
      <c r="X30" s="2222"/>
      <c r="Y30" s="3635"/>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33"/>
      <c r="Q31" s="2220">
        <f t="shared" si="11"/>
        <v>111</v>
      </c>
      <c r="R31" s="1352" t="s">
        <v>63</v>
      </c>
      <c r="S31" s="1353">
        <f t="shared" si="12"/>
        <v>100</v>
      </c>
      <c r="T31" s="1352" t="s">
        <v>63</v>
      </c>
      <c r="U31" s="1353">
        <f t="shared" si="13"/>
        <v>100</v>
      </c>
      <c r="V31" s="1352" t="s">
        <v>63</v>
      </c>
      <c r="W31" s="1353">
        <f t="shared" si="14"/>
        <v>100</v>
      </c>
      <c r="X31" s="2222"/>
      <c r="Y31" s="3635"/>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33"/>
      <c r="Q32" s="2220">
        <f t="shared" si="11"/>
        <v>111</v>
      </c>
      <c r="R32" s="1352" t="s">
        <v>63</v>
      </c>
      <c r="S32" s="1353">
        <f t="shared" si="12"/>
        <v>100</v>
      </c>
      <c r="T32" s="1352" t="s">
        <v>63</v>
      </c>
      <c r="U32" s="1353">
        <f t="shared" si="13"/>
        <v>100</v>
      </c>
      <c r="V32" s="1352" t="s">
        <v>63</v>
      </c>
      <c r="W32" s="1353">
        <f t="shared" si="14"/>
        <v>100</v>
      </c>
      <c r="X32" s="2222"/>
      <c r="Y32" s="3635"/>
      <c r="Z32" s="2221">
        <f t="shared" si="15"/>
        <v>111</v>
      </c>
      <c r="AA32" s="1355">
        <f t="shared" si="3"/>
        <v>1</v>
      </c>
      <c r="AB32" s="1355">
        <f t="shared" si="4"/>
        <v>1</v>
      </c>
      <c r="AC32" s="2338">
        <f t="shared" si="5"/>
        <v>1</v>
      </c>
    </row>
    <row r="33" spans="1:29" ht="15">
      <c r="A33" s="155" t="s">
        <v>1090</v>
      </c>
      <c r="B33" s="62" t="s">
        <v>1091</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36" t="s">
        <v>1092</v>
      </c>
      <c r="Q33" s="2220" t="str">
        <f t="shared" si="11"/>
        <v>建筑类型</v>
      </c>
      <c r="R33" s="1352" t="s">
        <v>63</v>
      </c>
      <c r="S33" s="1353">
        <f t="shared" si="12"/>
        <v>100</v>
      </c>
      <c r="T33" s="1352" t="s">
        <v>63</v>
      </c>
      <c r="U33" s="1353">
        <f t="shared" si="13"/>
        <v>100</v>
      </c>
      <c r="V33" s="1352" t="s">
        <v>63</v>
      </c>
      <c r="W33" s="1353">
        <f t="shared" si="14"/>
        <v>100</v>
      </c>
      <c r="X33" s="2222"/>
      <c r="Y33" s="3639" t="s">
        <v>1092</v>
      </c>
      <c r="Z33" s="2221" t="str">
        <f t="shared" si="15"/>
        <v>建筑类型</v>
      </c>
      <c r="AA33" s="1355">
        <f t="shared" si="3"/>
        <v>1</v>
      </c>
      <c r="AB33" s="1355">
        <f t="shared" si="4"/>
        <v>1</v>
      </c>
      <c r="AC33" s="2338">
        <f t="shared" si="5"/>
        <v>1</v>
      </c>
    </row>
    <row r="34" spans="1:29" s="1039" customFormat="1" ht="14.25">
      <c r="A34" s="1043"/>
      <c r="B34" s="12" t="s">
        <v>74</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37"/>
      <c r="Q34" s="1359" t="str">
        <f t="shared" si="11"/>
        <v>项目建筑规模</v>
      </c>
      <c r="R34" s="1360" t="s">
        <v>63</v>
      </c>
      <c r="S34" s="1361" t="e">
        <f t="shared" si="12"/>
        <v>#N/A</v>
      </c>
      <c r="T34" s="1360" t="s">
        <v>63</v>
      </c>
      <c r="U34" s="1361" t="e">
        <f t="shared" si="13"/>
        <v>#N/A</v>
      </c>
      <c r="V34" s="1360" t="s">
        <v>63</v>
      </c>
      <c r="W34" s="1361" t="e">
        <f t="shared" si="14"/>
        <v>#N/A</v>
      </c>
      <c r="X34" s="1362"/>
      <c r="Y34" s="3639"/>
      <c r="Z34" s="1363" t="str">
        <f t="shared" si="15"/>
        <v>项目建筑规模</v>
      </c>
      <c r="AA34" s="1355" t="e">
        <f t="shared" si="3"/>
        <v>#N/A</v>
      </c>
      <c r="AB34" s="1355" t="e">
        <f t="shared" si="4"/>
        <v>#N/A</v>
      </c>
      <c r="AC34" s="2338" t="e">
        <f t="shared" si="5"/>
        <v>#N/A</v>
      </c>
    </row>
    <row r="35" spans="1:29" ht="15">
      <c r="A35" s="161"/>
      <c r="B35" s="12" t="s">
        <v>75</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37"/>
      <c r="Q35" s="2220" t="str">
        <f t="shared" si="11"/>
        <v>建筑结构</v>
      </c>
      <c r="R35" s="1352" t="s">
        <v>63</v>
      </c>
      <c r="S35" s="1353">
        <f t="shared" si="12"/>
        <v>100</v>
      </c>
      <c r="T35" s="1352" t="s">
        <v>63</v>
      </c>
      <c r="U35" s="1353">
        <f t="shared" si="13"/>
        <v>100</v>
      </c>
      <c r="V35" s="1352" t="s">
        <v>63</v>
      </c>
      <c r="W35" s="1353">
        <f t="shared" si="14"/>
        <v>100</v>
      </c>
      <c r="X35" s="2222"/>
      <c r="Y35" s="3639"/>
      <c r="Z35" s="2221" t="str">
        <f t="shared" si="15"/>
        <v>建筑结构</v>
      </c>
      <c r="AA35" s="1355">
        <f t="shared" si="3"/>
        <v>1</v>
      </c>
      <c r="AB35" s="1355">
        <f t="shared" si="4"/>
        <v>1</v>
      </c>
      <c r="AC35" s="2338">
        <f t="shared" si="5"/>
        <v>1</v>
      </c>
    </row>
    <row r="36" spans="1:29" ht="15">
      <c r="A36" s="161"/>
      <c r="B36" s="12" t="s">
        <v>131</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37"/>
      <c r="Q36" s="2220" t="str">
        <f t="shared" si="11"/>
        <v>公共部分装修</v>
      </c>
      <c r="R36" s="1352" t="s">
        <v>63</v>
      </c>
      <c r="S36" s="1353">
        <f t="shared" si="12"/>
        <v>100</v>
      </c>
      <c r="T36" s="1352" t="s">
        <v>63</v>
      </c>
      <c r="U36" s="1353">
        <f t="shared" si="13"/>
        <v>100</v>
      </c>
      <c r="V36" s="1352" t="s">
        <v>63</v>
      </c>
      <c r="W36" s="1353">
        <f t="shared" si="14"/>
        <v>100</v>
      </c>
      <c r="X36" s="2222"/>
      <c r="Y36" s="3639"/>
      <c r="Z36" s="2221" t="str">
        <f t="shared" si="15"/>
        <v>公共部分装修</v>
      </c>
      <c r="AA36" s="1355">
        <f t="shared" si="3"/>
        <v>1</v>
      </c>
      <c r="AB36" s="1355">
        <f t="shared" si="4"/>
        <v>1</v>
      </c>
      <c r="AC36" s="2338">
        <f t="shared" si="5"/>
        <v>1</v>
      </c>
    </row>
    <row r="37" spans="1:29" ht="15">
      <c r="A37" s="161"/>
      <c r="B37" s="12" t="s">
        <v>132</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37"/>
      <c r="Q37" s="2220" t="str">
        <f t="shared" si="11"/>
        <v>成新度</v>
      </c>
      <c r="R37" s="1352" t="s">
        <v>63</v>
      </c>
      <c r="S37" s="1353" t="e">
        <f t="shared" si="12"/>
        <v>#N/A</v>
      </c>
      <c r="T37" s="1352" t="s">
        <v>63</v>
      </c>
      <c r="U37" s="1353" t="e">
        <f t="shared" si="13"/>
        <v>#N/A</v>
      </c>
      <c r="V37" s="1352" t="s">
        <v>63</v>
      </c>
      <c r="W37" s="1353" t="e">
        <f t="shared" si="14"/>
        <v>#N/A</v>
      </c>
      <c r="X37" s="2222"/>
      <c r="Y37" s="3639"/>
      <c r="Z37" s="2221" t="str">
        <f t="shared" si="15"/>
        <v>成新度</v>
      </c>
      <c r="AA37" s="1355" t="e">
        <f t="shared" si="3"/>
        <v>#N/A</v>
      </c>
      <c r="AB37" s="1355" t="e">
        <f t="shared" si="4"/>
        <v>#N/A</v>
      </c>
      <c r="AC37" s="2338" t="e">
        <f t="shared" si="5"/>
        <v>#N/A</v>
      </c>
    </row>
    <row r="38" spans="1:29" s="40" customFormat="1" ht="15">
      <c r="A38" s="1041"/>
      <c r="B38" s="12" t="s">
        <v>145</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37"/>
      <c r="Q38" s="2213" t="str">
        <f t="shared" si="11"/>
        <v>写字楼等级</v>
      </c>
      <c r="R38" s="1342" t="s">
        <v>63</v>
      </c>
      <c r="S38" s="1343">
        <f t="shared" si="12"/>
        <v>100</v>
      </c>
      <c r="T38" s="1342" t="s">
        <v>63</v>
      </c>
      <c r="U38" s="1343">
        <f t="shared" si="13"/>
        <v>100</v>
      </c>
      <c r="V38" s="1342" t="s">
        <v>63</v>
      </c>
      <c r="W38" s="1343">
        <f t="shared" si="14"/>
        <v>100</v>
      </c>
      <c r="X38" s="287"/>
      <c r="Y38" s="3639"/>
      <c r="Z38" s="2212" t="str">
        <f t="shared" si="15"/>
        <v>写字楼等级</v>
      </c>
      <c r="AA38" s="1344">
        <f t="shared" si="3"/>
        <v>1</v>
      </c>
      <c r="AB38" s="1344">
        <f t="shared" si="4"/>
        <v>1</v>
      </c>
      <c r="AC38" s="2337">
        <f t="shared" si="5"/>
        <v>1</v>
      </c>
    </row>
    <row r="39" spans="1:29" ht="15">
      <c r="A39" s="161"/>
      <c r="B39" s="12" t="s">
        <v>146</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37" t="s">
        <v>68</v>
      </c>
      <c r="Q39" s="2220" t="str">
        <f t="shared" si="11"/>
        <v>物业管理</v>
      </c>
      <c r="R39" s="1352" t="s">
        <v>63</v>
      </c>
      <c r="S39" s="1353">
        <f t="shared" si="12"/>
        <v>100</v>
      </c>
      <c r="T39" s="1352" t="s">
        <v>63</v>
      </c>
      <c r="U39" s="1353">
        <f t="shared" si="13"/>
        <v>100</v>
      </c>
      <c r="V39" s="1352" t="s">
        <v>63</v>
      </c>
      <c r="W39" s="1353">
        <f t="shared" si="14"/>
        <v>100</v>
      </c>
      <c r="X39" s="2222"/>
      <c r="Y39" s="3639" t="s">
        <v>68</v>
      </c>
      <c r="Z39" s="2221" t="str">
        <f t="shared" si="15"/>
        <v>物业管理</v>
      </c>
      <c r="AA39" s="1355">
        <f t="shared" si="3"/>
        <v>1</v>
      </c>
      <c r="AB39" s="1355">
        <f t="shared" si="4"/>
        <v>1</v>
      </c>
      <c r="AC39" s="2338">
        <f t="shared" si="5"/>
        <v>1</v>
      </c>
    </row>
    <row r="40" spans="1:29" ht="15">
      <c r="A40" s="161"/>
      <c r="B40" s="12" t="s">
        <v>2653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37"/>
      <c r="Q40" s="2220" t="str">
        <f t="shared" si="11"/>
        <v>市政基础设施</v>
      </c>
      <c r="R40" s="1352" t="s">
        <v>63</v>
      </c>
      <c r="S40" s="1353">
        <f t="shared" si="12"/>
        <v>100</v>
      </c>
      <c r="T40" s="1352" t="s">
        <v>63</v>
      </c>
      <c r="U40" s="1353">
        <f t="shared" si="13"/>
        <v>100</v>
      </c>
      <c r="V40" s="1352" t="s">
        <v>63</v>
      </c>
      <c r="W40" s="1353">
        <f t="shared" si="14"/>
        <v>100</v>
      </c>
      <c r="X40" s="2222"/>
      <c r="Y40" s="3639"/>
      <c r="Z40" s="2221" t="str">
        <f t="shared" si="15"/>
        <v>市政基础设施</v>
      </c>
      <c r="AA40" s="1355">
        <f t="shared" si="3"/>
        <v>1</v>
      </c>
      <c r="AB40" s="1355">
        <f t="shared" si="4"/>
        <v>1</v>
      </c>
      <c r="AC40" s="2338">
        <f t="shared" si="5"/>
        <v>1</v>
      </c>
    </row>
    <row r="41" spans="1:29" ht="15">
      <c r="A41" s="161"/>
      <c r="B41" s="12" t="s">
        <v>134</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37"/>
      <c r="Q41" s="2220" t="str">
        <f t="shared" si="11"/>
        <v>层高</v>
      </c>
      <c r="R41" s="1352" t="s">
        <v>63</v>
      </c>
      <c r="S41" s="1353">
        <f t="shared" si="12"/>
        <v>100</v>
      </c>
      <c r="T41" s="1352" t="s">
        <v>63</v>
      </c>
      <c r="U41" s="1353">
        <f t="shared" si="13"/>
        <v>100</v>
      </c>
      <c r="V41" s="1352" t="s">
        <v>63</v>
      </c>
      <c r="W41" s="1353">
        <f t="shared" si="14"/>
        <v>100</v>
      </c>
      <c r="X41" s="2222"/>
      <c r="Y41" s="3639"/>
      <c r="Z41" s="2221" t="str">
        <f t="shared" si="15"/>
        <v>层高</v>
      </c>
      <c r="AA41" s="1355">
        <f t="shared" si="3"/>
        <v>1</v>
      </c>
      <c r="AB41" s="1355">
        <f t="shared" si="4"/>
        <v>1</v>
      </c>
      <c r="AC41" s="2338">
        <f t="shared" si="5"/>
        <v>1</v>
      </c>
    </row>
    <row r="42" spans="1:29" s="1039" customFormat="1" ht="14.25">
      <c r="A42" s="1043"/>
      <c r="B42" s="191" t="s">
        <v>1093</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37"/>
      <c r="Q42" s="1359" t="str">
        <f t="shared" si="11"/>
        <v>单套建筑面积</v>
      </c>
      <c r="R42" s="1360" t="s">
        <v>63</v>
      </c>
      <c r="S42" s="1361">
        <f t="shared" si="12"/>
        <v>100</v>
      </c>
      <c r="T42" s="1360" t="s">
        <v>63</v>
      </c>
      <c r="U42" s="1361">
        <f t="shared" si="13"/>
        <v>100</v>
      </c>
      <c r="V42" s="1360" t="s">
        <v>63</v>
      </c>
      <c r="W42" s="1361">
        <f t="shared" si="14"/>
        <v>100</v>
      </c>
      <c r="X42" s="1362"/>
      <c r="Y42" s="3639"/>
      <c r="Z42" s="1363" t="str">
        <f t="shared" si="15"/>
        <v>单套建筑面积</v>
      </c>
      <c r="AA42" s="1355">
        <f t="shared" si="3"/>
        <v>1</v>
      </c>
      <c r="AB42" s="1355">
        <f t="shared" si="4"/>
        <v>1</v>
      </c>
      <c r="AC42" s="2338">
        <f t="shared" si="5"/>
        <v>1</v>
      </c>
    </row>
    <row r="43" spans="1:29" ht="15">
      <c r="A43" s="161"/>
      <c r="B43" s="12" t="s">
        <v>1094</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37"/>
      <c r="Q43" s="2220" t="str">
        <f t="shared" si="11"/>
        <v>内部装修</v>
      </c>
      <c r="R43" s="1352" t="s">
        <v>63</v>
      </c>
      <c r="S43" s="1353">
        <f t="shared" si="12"/>
        <v>100</v>
      </c>
      <c r="T43" s="1352" t="s">
        <v>63</v>
      </c>
      <c r="U43" s="1353">
        <f t="shared" si="13"/>
        <v>100</v>
      </c>
      <c r="V43" s="1352" t="s">
        <v>63</v>
      </c>
      <c r="W43" s="1353">
        <f t="shared" si="14"/>
        <v>100</v>
      </c>
      <c r="X43" s="2222"/>
      <c r="Y43" s="3639"/>
      <c r="Z43" s="2221" t="str">
        <f t="shared" si="15"/>
        <v>内部装修</v>
      </c>
      <c r="AA43" s="1355">
        <f t="shared" si="3"/>
        <v>1</v>
      </c>
      <c r="AB43" s="1355">
        <f t="shared" si="4"/>
        <v>1</v>
      </c>
      <c r="AC43" s="2338">
        <f t="shared" si="5"/>
        <v>1</v>
      </c>
    </row>
    <row r="44" spans="1:29" ht="27">
      <c r="A44" s="161"/>
      <c r="B44" s="12" t="s">
        <v>82</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37"/>
      <c r="Q44" s="2220" t="str">
        <f t="shared" si="11"/>
        <v>内部装修维护情况</v>
      </c>
      <c r="R44" s="1352" t="s">
        <v>63</v>
      </c>
      <c r="S44" s="1353">
        <f t="shared" si="12"/>
        <v>100</v>
      </c>
      <c r="T44" s="1352" t="s">
        <v>63</v>
      </c>
      <c r="U44" s="1353">
        <f t="shared" si="13"/>
        <v>100</v>
      </c>
      <c r="V44" s="1352" t="s">
        <v>63</v>
      </c>
      <c r="W44" s="1353">
        <f t="shared" si="14"/>
        <v>100</v>
      </c>
      <c r="X44" s="2222"/>
      <c r="Y44" s="3639"/>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37"/>
      <c r="Q45" s="2213">
        <f t="shared" si="11"/>
        <v>111</v>
      </c>
      <c r="R45" s="1342" t="s">
        <v>63</v>
      </c>
      <c r="S45" s="1343">
        <f t="shared" si="12"/>
        <v>100</v>
      </c>
      <c r="T45" s="1342" t="s">
        <v>63</v>
      </c>
      <c r="U45" s="1343">
        <f t="shared" si="13"/>
        <v>100</v>
      </c>
      <c r="V45" s="1342" t="s">
        <v>63</v>
      </c>
      <c r="W45" s="1343">
        <f t="shared" si="14"/>
        <v>100</v>
      </c>
      <c r="X45" s="287"/>
      <c r="Y45" s="3639"/>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37"/>
      <c r="Q46" s="2220">
        <f t="shared" si="11"/>
        <v>111</v>
      </c>
      <c r="R46" s="1352" t="s">
        <v>63</v>
      </c>
      <c r="S46" s="1353">
        <f t="shared" si="12"/>
        <v>100</v>
      </c>
      <c r="T46" s="1352" t="s">
        <v>63</v>
      </c>
      <c r="U46" s="1353">
        <f t="shared" si="13"/>
        <v>100</v>
      </c>
      <c r="V46" s="1352" t="s">
        <v>63</v>
      </c>
      <c r="W46" s="1353">
        <f t="shared" si="14"/>
        <v>100</v>
      </c>
      <c r="X46" s="2222"/>
      <c r="Y46" s="3639"/>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8"/>
      <c r="Q47" s="2220">
        <f t="shared" si="11"/>
        <v>111</v>
      </c>
      <c r="R47" s="1352" t="s">
        <v>63</v>
      </c>
      <c r="S47" s="1353">
        <f t="shared" si="12"/>
        <v>100</v>
      </c>
      <c r="T47" s="1352" t="s">
        <v>63</v>
      </c>
      <c r="U47" s="1353">
        <f t="shared" si="13"/>
        <v>100</v>
      </c>
      <c r="V47" s="1352" t="s">
        <v>63</v>
      </c>
      <c r="W47" s="1353">
        <f t="shared" si="14"/>
        <v>100</v>
      </c>
      <c r="X47" s="2222"/>
      <c r="Y47" s="3640"/>
      <c r="Z47" s="2221">
        <f t="shared" si="15"/>
        <v>111</v>
      </c>
      <c r="AA47" s="1355">
        <f t="shared" si="3"/>
        <v>1</v>
      </c>
      <c r="AB47" s="1355">
        <f t="shared" si="4"/>
        <v>1</v>
      </c>
      <c r="AC47" s="2338">
        <f t="shared" si="5"/>
        <v>1</v>
      </c>
    </row>
    <row r="48" spans="1:29" ht="15">
      <c r="A48" s="163" t="s">
        <v>1035</v>
      </c>
      <c r="B48" s="164"/>
      <c r="C48" s="2834" t="s">
        <v>23</v>
      </c>
      <c r="D48" s="2835"/>
      <c r="E48" s="2836"/>
      <c r="F48" s="2837"/>
      <c r="G48" s="2838"/>
      <c r="H48" s="2839"/>
      <c r="I48" s="2836"/>
      <c r="J48" s="828"/>
      <c r="K48" s="1393"/>
      <c r="L48" s="2304"/>
      <c r="M48" s="2297"/>
      <c r="N48" s="2297"/>
      <c r="O48" s="2297"/>
      <c r="P48" s="3642" t="str">
        <f>A48</f>
        <v>成交单价（元/平方米）</v>
      </c>
      <c r="Q48" s="3627"/>
      <c r="R48" s="3628">
        <f>E48</f>
        <v>0</v>
      </c>
      <c r="S48" s="3628"/>
      <c r="T48" s="3628">
        <f>G48</f>
        <v>0</v>
      </c>
      <c r="U48" s="3628"/>
      <c r="V48" s="3628">
        <f>I48</f>
        <v>0</v>
      </c>
      <c r="W48" s="3628"/>
      <c r="X48" s="156"/>
      <c r="Y48" s="1366"/>
      <c r="Z48" s="156"/>
      <c r="AA48" s="156"/>
      <c r="AB48" s="156"/>
      <c r="AC48" s="209"/>
    </row>
    <row r="49" spans="1:29" ht="15.75" thickBot="1">
      <c r="A49" s="165" t="s">
        <v>1036</v>
      </c>
      <c r="B49" s="166"/>
      <c r="C49" s="2840" t="e">
        <f>R50</f>
        <v>#DIV/0!</v>
      </c>
      <c r="D49" s="2841"/>
      <c r="E49" s="2842" t="e">
        <f>R49</f>
        <v>#DIV/0!</v>
      </c>
      <c r="F49" s="2842"/>
      <c r="G49" s="2840" t="e">
        <f>T49</f>
        <v>#DIV/0!</v>
      </c>
      <c r="H49" s="2841"/>
      <c r="I49" s="2842" t="e">
        <f>V49</f>
        <v>#DIV/0!</v>
      </c>
      <c r="J49" s="832"/>
      <c r="K49" s="1394"/>
      <c r="L49" s="2304"/>
      <c r="M49" s="2297"/>
      <c r="N49" s="2297"/>
      <c r="O49" s="2297"/>
      <c r="P49" s="3642" t="str">
        <f>A49</f>
        <v>比较价值（元/平方米）</v>
      </c>
      <c r="Q49" s="3627"/>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156"/>
      <c r="Y49" s="156"/>
      <c r="Z49" s="156"/>
      <c r="AA49" s="156"/>
      <c r="AB49" s="156"/>
      <c r="AC49" s="209"/>
    </row>
    <row r="50" spans="1:29" ht="15.75" thickBot="1">
      <c r="A50" s="115" t="s">
        <v>3014</v>
      </c>
      <c r="B50" s="116"/>
      <c r="C50" s="2844" t="e">
        <f>R50</f>
        <v>#DIV/0!</v>
      </c>
      <c r="D50" s="2844"/>
      <c r="E50" s="2844"/>
      <c r="F50" s="2844"/>
      <c r="G50" s="2844"/>
      <c r="H50" s="2844"/>
      <c r="I50" s="2844"/>
      <c r="J50" s="837"/>
      <c r="K50" s="1395"/>
      <c r="L50" s="2304"/>
      <c r="M50" s="2297"/>
      <c r="N50" s="2297"/>
      <c r="O50" s="2297"/>
      <c r="P50" s="3706" t="str">
        <f>A50</f>
        <v>估价对象XX用房的比较价值（楼面单价，元/平方米）</v>
      </c>
      <c r="Q50" s="3707"/>
      <c r="R50" s="3708" t="e">
        <f>IF(F1="售价",ROUND(AVERAGE(R49:V49),0),ROUND(AVERAGE(R49:V49),1))</f>
        <v>#DIV/0!</v>
      </c>
      <c r="S50" s="3708"/>
      <c r="T50" s="3708"/>
      <c r="U50" s="3708"/>
      <c r="V50" s="3708"/>
      <c r="W50" s="370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1005</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1006</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1007</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1037</v>
      </c>
      <c r="B58" s="1365"/>
      <c r="C58" s="1373"/>
      <c r="D58" s="1373"/>
      <c r="E58" s="1373"/>
      <c r="F58" s="1374"/>
      <c r="G58" s="1374"/>
      <c r="H58" s="1373"/>
      <c r="I58" s="1373"/>
      <c r="J58" s="1373"/>
      <c r="K58" s="1375"/>
      <c r="L58" s="2312"/>
      <c r="M58" s="2313"/>
      <c r="N58" s="2313"/>
      <c r="O58" s="2313"/>
      <c r="P58" s="2327"/>
      <c r="Q58" s="121"/>
    </row>
    <row r="59" spans="1:29" s="851" customFormat="1" ht="15">
      <c r="A59" s="848" t="s">
        <v>2791</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1038</v>
      </c>
      <c r="B61" s="1048"/>
      <c r="C61" s="860"/>
      <c r="D61" s="861"/>
      <c r="E61" s="861"/>
      <c r="F61" s="861"/>
      <c r="G61" s="861"/>
      <c r="H61" s="861"/>
      <c r="I61" s="861"/>
      <c r="J61" s="861"/>
      <c r="K61" s="861"/>
      <c r="L61" s="861"/>
      <c r="M61" s="862"/>
      <c r="N61" s="861"/>
      <c r="O61" s="862"/>
      <c r="P61" s="2328"/>
      <c r="Q61" s="121"/>
    </row>
    <row r="62" spans="1:29" s="40" customFormat="1">
      <c r="A62" s="1049" t="s">
        <v>1039</v>
      </c>
      <c r="B62" s="1046"/>
      <c r="C62" s="1050" t="s">
        <v>1040</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1041</v>
      </c>
      <c r="B64" s="286" t="s">
        <v>1042</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1043</v>
      </c>
      <c r="C66" s="882" t="s">
        <v>1008</v>
      </c>
      <c r="D66" s="882" t="s">
        <v>1009</v>
      </c>
      <c r="E66" s="882" t="s">
        <v>1010</v>
      </c>
      <c r="F66" s="882" t="s">
        <v>1011</v>
      </c>
      <c r="G66" s="882" t="s">
        <v>1012</v>
      </c>
      <c r="H66" s="882" t="s">
        <v>1013</v>
      </c>
      <c r="I66" s="882" t="s">
        <v>1014</v>
      </c>
      <c r="J66" s="882"/>
      <c r="K66" s="883"/>
      <c r="L66" s="884"/>
      <c r="M66" s="885"/>
      <c r="N66" s="1389"/>
      <c r="O66" s="1389"/>
      <c r="P66" s="2330"/>
      <c r="Q66" s="121"/>
    </row>
    <row r="67" spans="1:17" ht="15" thickBot="1">
      <c r="A67" s="173"/>
      <c r="B67" s="1055"/>
      <c r="C67" s="887" t="s">
        <v>136</v>
      </c>
      <c r="D67" s="887" t="s">
        <v>137</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1044</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1045</v>
      </c>
      <c r="B77" s="286" t="s">
        <v>1095</v>
      </c>
      <c r="C77" s="916" t="s">
        <v>1015</v>
      </c>
      <c r="D77" s="916" t="s">
        <v>1016</v>
      </c>
      <c r="E77" s="916" t="s">
        <v>1017</v>
      </c>
      <c r="F77" s="916" t="s">
        <v>1018</v>
      </c>
      <c r="G77" s="916" t="s">
        <v>1019</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1052</v>
      </c>
      <c r="C79" s="921" t="s">
        <v>1015</v>
      </c>
      <c r="D79" s="921" t="s">
        <v>1016</v>
      </c>
      <c r="E79" s="921" t="s">
        <v>1017</v>
      </c>
      <c r="F79" s="921" t="s">
        <v>1104</v>
      </c>
      <c r="G79" s="921" t="s">
        <v>1019</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1015</v>
      </c>
      <c r="D81" s="921" t="s">
        <v>1016</v>
      </c>
      <c r="E81" s="921" t="s">
        <v>1017</v>
      </c>
      <c r="F81" s="921" t="s">
        <v>1018</v>
      </c>
      <c r="G81" s="921" t="s">
        <v>1019</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2662</v>
      </c>
      <c r="C83" s="213" t="s">
        <v>2655</v>
      </c>
      <c r="D83" s="213" t="s">
        <v>2656</v>
      </c>
      <c r="E83" s="213" t="s">
        <v>2657</v>
      </c>
      <c r="F83" s="213" t="s">
        <v>2658</v>
      </c>
      <c r="G83" s="213" t="s">
        <v>2659</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1096</v>
      </c>
      <c r="C85" s="921" t="s">
        <v>1015</v>
      </c>
      <c r="D85" s="921" t="s">
        <v>1016</v>
      </c>
      <c r="E85" s="921" t="s">
        <v>1017</v>
      </c>
      <c r="F85" s="921" t="s">
        <v>1018</v>
      </c>
      <c r="G85" s="921" t="s">
        <v>1019</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1097</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1055</v>
      </c>
      <c r="B101" s="286" t="s">
        <v>1098</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1057</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1058</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1059</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1099</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1100</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2637</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1062</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1063</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1065</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1066</v>
      </c>
      <c r="C125" s="921" t="s">
        <v>1015</v>
      </c>
      <c r="D125" s="921" t="s">
        <v>1016</v>
      </c>
      <c r="E125" s="921" t="s">
        <v>1017</v>
      </c>
      <c r="F125" s="921" t="s">
        <v>1018</v>
      </c>
      <c r="G125" s="921" t="s">
        <v>1019</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7" sqref="C127:F13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1105</v>
      </c>
      <c r="B1" s="3119" t="s">
        <v>1106</v>
      </c>
      <c r="C1" s="3113" t="s">
        <v>1107</v>
      </c>
      <c r="D1" s="3104"/>
      <c r="E1" s="3109"/>
      <c r="F1" s="3106"/>
      <c r="G1" s="3108" t="s">
        <v>1108</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1109</v>
      </c>
      <c r="B2" s="2845" t="e">
        <f ca="1">IF(C2="——",ROUND(C43*D3/10000,0),ROUND(C43*D3/10000,0)-D2)</f>
        <v>#DIV/0!</v>
      </c>
      <c r="C2" s="3098"/>
      <c r="D2" s="2343" t="e">
        <f ca="1">SUMIF(INDIRECT("'"&amp;F2&amp;"'"&amp;"!A:A"),"承租人权益价值",INDIRECT("'"&amp;F2&amp;"'"&amp;"!c:c"))</f>
        <v>#REF!</v>
      </c>
      <c r="E2" s="3099" t="s">
        <v>867</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1110</v>
      </c>
      <c r="B3" s="952" t="e">
        <f ca="1">IF(C2="——",C43,ROUND(B2*10000/D3,0))</f>
        <v>#DIV/0!</v>
      </c>
      <c r="C3" s="142" t="s">
        <v>1111</v>
      </c>
      <c r="D3" s="742">
        <f>IF(D1="",'数据-汇总表'!E3,SUMIF('数据-汇总表'!$C19:$C33,D1,'数据-汇总表'!$E19:$E33))</f>
        <v>3441.66</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1112</v>
      </c>
      <c r="B4" s="144"/>
      <c r="C4" s="3646" t="s">
        <v>1113</v>
      </c>
      <c r="D4" s="3647"/>
      <c r="E4" s="3648" t="s">
        <v>1114</v>
      </c>
      <c r="F4" s="3649"/>
      <c r="G4" s="3646" t="s">
        <v>1115</v>
      </c>
      <c r="H4" s="3647"/>
      <c r="I4" s="3646" t="s">
        <v>1116</v>
      </c>
      <c r="J4" s="3647"/>
      <c r="K4" s="187" t="s">
        <v>1117</v>
      </c>
      <c r="L4" s="2296"/>
      <c r="M4" s="2297"/>
      <c r="N4" s="2297"/>
      <c r="O4" s="2297"/>
      <c r="P4" s="3650" t="s">
        <v>1112</v>
      </c>
      <c r="Q4" s="3651"/>
      <c r="R4" s="3656" t="s">
        <v>1114</v>
      </c>
      <c r="S4" s="3657"/>
      <c r="T4" s="3656" t="s">
        <v>1115</v>
      </c>
      <c r="U4" s="3657"/>
      <c r="V4" s="3641" t="s">
        <v>1116</v>
      </c>
      <c r="W4" s="3641"/>
      <c r="X4" s="1340"/>
      <c r="Y4" s="3656" t="s">
        <v>1112</v>
      </c>
      <c r="Z4" s="3657"/>
      <c r="AA4" s="3643" t="s">
        <v>1114</v>
      </c>
      <c r="AB4" s="3644" t="s">
        <v>1115</v>
      </c>
      <c r="AC4" s="3643" t="s">
        <v>1116</v>
      </c>
    </row>
    <row r="5" spans="1:29">
      <c r="A5" s="146"/>
      <c r="B5" s="147"/>
      <c r="C5" s="3664" t="s">
        <v>1118</v>
      </c>
      <c r="D5" s="3665"/>
      <c r="E5" s="3671" t="s">
        <v>1119</v>
      </c>
      <c r="F5" s="3672"/>
      <c r="G5" s="3664" t="s">
        <v>1120</v>
      </c>
      <c r="H5" s="3665"/>
      <c r="I5" s="3664" t="s">
        <v>1121</v>
      </c>
      <c r="J5" s="3665"/>
      <c r="K5" s="187"/>
      <c r="L5" s="2296"/>
      <c r="M5" s="2297"/>
      <c r="N5" s="2297"/>
      <c r="O5" s="2297"/>
      <c r="P5" s="3652"/>
      <c r="Q5" s="3653"/>
      <c r="R5" s="3658"/>
      <c r="S5" s="3659"/>
      <c r="T5" s="3658"/>
      <c r="U5" s="3659"/>
      <c r="V5" s="3641"/>
      <c r="W5" s="3641"/>
      <c r="X5" s="1340"/>
      <c r="Y5" s="3658"/>
      <c r="Z5" s="3659"/>
      <c r="AA5" s="3644"/>
      <c r="AB5" s="3644"/>
      <c r="AC5" s="3644"/>
    </row>
    <row r="6" spans="1:29" ht="14.25" thickBot="1">
      <c r="A6" s="148"/>
      <c r="B6" s="149"/>
      <c r="C6" s="3662" t="s">
        <v>1122</v>
      </c>
      <c r="D6" s="3663"/>
      <c r="E6" s="3669" t="s">
        <v>1122</v>
      </c>
      <c r="F6" s="3670"/>
      <c r="G6" s="3662" t="s">
        <v>1122</v>
      </c>
      <c r="H6" s="3663"/>
      <c r="I6" s="3662" t="s">
        <v>1122</v>
      </c>
      <c r="J6" s="3663"/>
      <c r="K6" s="187" t="s">
        <v>1123</v>
      </c>
      <c r="L6" s="2296"/>
      <c r="M6" s="2297"/>
      <c r="N6" s="2297"/>
      <c r="O6" s="2297"/>
      <c r="P6" s="3654"/>
      <c r="Q6" s="3655"/>
      <c r="R6" s="3658"/>
      <c r="S6" s="3659"/>
      <c r="T6" s="3660"/>
      <c r="U6" s="3661"/>
      <c r="V6" s="3641"/>
      <c r="W6" s="3641"/>
      <c r="X6" s="1340"/>
      <c r="Y6" s="3660"/>
      <c r="Z6" s="3661"/>
      <c r="AA6" s="3645"/>
      <c r="AB6" s="3645"/>
      <c r="AC6" s="3645"/>
    </row>
    <row r="7" spans="1:29" s="40" customFormat="1" ht="15" thickBot="1">
      <c r="A7" s="1014" t="s">
        <v>1124</v>
      </c>
      <c r="B7" s="1015"/>
      <c r="C7" s="753">
        <f>'数据-取费表'!B2</f>
        <v>42997</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66" t="s">
        <v>1124</v>
      </c>
      <c r="Q7" s="3668"/>
      <c r="R7" s="1342" t="s">
        <v>63</v>
      </c>
      <c r="S7" s="1343">
        <f t="shared" ref="S7:S15" si="0">F7</f>
        <v>0</v>
      </c>
      <c r="T7" s="1342" t="s">
        <v>63</v>
      </c>
      <c r="U7" s="1343">
        <f t="shared" ref="U7:U15" si="1">H7</f>
        <v>0</v>
      </c>
      <c r="V7" s="1342" t="s">
        <v>63</v>
      </c>
      <c r="W7" s="1343">
        <f t="shared" ref="W7:W15" si="2">J7</f>
        <v>0</v>
      </c>
      <c r="X7" s="287"/>
      <c r="Y7" s="3666" t="s">
        <v>1124</v>
      </c>
      <c r="Z7" s="3667"/>
      <c r="AA7" s="1344" t="e">
        <f>D7/F7</f>
        <v>#DIV/0!</v>
      </c>
      <c r="AB7" s="1344" t="e">
        <f>D7/H7</f>
        <v>#DIV/0!</v>
      </c>
      <c r="AC7" s="1344" t="e">
        <f>D7/J7</f>
        <v>#DIV/0!</v>
      </c>
    </row>
    <row r="8" spans="1:29" s="40" customFormat="1" ht="15" thickBot="1">
      <c r="A8" s="1014" t="s">
        <v>1125</v>
      </c>
      <c r="B8" s="1015"/>
      <c r="C8" s="1020" t="s">
        <v>153</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66" t="s">
        <v>1020</v>
      </c>
      <c r="Q8" s="3667"/>
      <c r="R8" s="1342" t="s">
        <v>63</v>
      </c>
      <c r="S8" s="1343">
        <f t="shared" si="0"/>
        <v>0</v>
      </c>
      <c r="T8" s="1342" t="s">
        <v>63</v>
      </c>
      <c r="U8" s="1343">
        <f t="shared" si="1"/>
        <v>0</v>
      </c>
      <c r="V8" s="1342" t="s">
        <v>63</v>
      </c>
      <c r="W8" s="1343">
        <f t="shared" si="2"/>
        <v>0</v>
      </c>
      <c r="X8" s="287"/>
      <c r="Y8" s="3666" t="s">
        <v>1020</v>
      </c>
      <c r="Z8" s="3667"/>
      <c r="AA8" s="1344" t="e">
        <f t="shared" ref="AA8:AA40" si="3">D8/F8</f>
        <v>#DIV/0!</v>
      </c>
      <c r="AB8" s="1344" t="e">
        <f t="shared" ref="AB8:AB40" si="4">D8/H8</f>
        <v>#DIV/0!</v>
      </c>
      <c r="AC8" s="1344" t="e">
        <f t="shared" ref="AC8:AC40" si="5">D8/J8</f>
        <v>#DIV/0!</v>
      </c>
    </row>
    <row r="9" spans="1:29" s="40" customFormat="1" ht="14.25">
      <c r="A9" s="1021" t="s">
        <v>1021</v>
      </c>
      <c r="B9" s="62" t="s">
        <v>1022</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27" t="s">
        <v>65</v>
      </c>
      <c r="Q9" s="7" t="str">
        <f t="shared" ref="Q9:Q15" si="6">B9</f>
        <v>用途</v>
      </c>
      <c r="R9" s="1342" t="s">
        <v>63</v>
      </c>
      <c r="S9" s="1343">
        <f t="shared" si="0"/>
        <v>100</v>
      </c>
      <c r="T9" s="1342" t="s">
        <v>63</v>
      </c>
      <c r="U9" s="1343">
        <f t="shared" si="1"/>
        <v>100</v>
      </c>
      <c r="V9" s="1342" t="s">
        <v>63</v>
      </c>
      <c r="W9" s="1343">
        <f t="shared" si="2"/>
        <v>100</v>
      </c>
      <c r="X9" s="287"/>
      <c r="Y9" s="3473" t="s">
        <v>65</v>
      </c>
      <c r="Z9" s="288" t="str">
        <f t="shared" ref="Z9:Z15" si="7">Q9</f>
        <v>用途</v>
      </c>
      <c r="AA9" s="1344">
        <f t="shared" si="3"/>
        <v>1</v>
      </c>
      <c r="AB9" s="1344">
        <f t="shared" si="4"/>
        <v>1</v>
      </c>
      <c r="AC9" s="1344">
        <f t="shared" si="5"/>
        <v>1</v>
      </c>
    </row>
    <row r="10" spans="1:29" s="92" customFormat="1" ht="27">
      <c r="A10" s="150"/>
      <c r="B10" s="12" t="s">
        <v>104</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27"/>
      <c r="Q10" s="7" t="str">
        <f t="shared" si="6"/>
        <v>土地使用年限（年）</v>
      </c>
      <c r="R10" s="1342" t="s">
        <v>63</v>
      </c>
      <c r="S10" s="1343">
        <f t="shared" si="0"/>
        <v>100</v>
      </c>
      <c r="T10" s="1342" t="s">
        <v>63</v>
      </c>
      <c r="U10" s="1343">
        <f t="shared" si="1"/>
        <v>100</v>
      </c>
      <c r="V10" s="1342" t="s">
        <v>63</v>
      </c>
      <c r="W10" s="1343">
        <f t="shared" si="2"/>
        <v>100</v>
      </c>
      <c r="X10" s="287"/>
      <c r="Y10" s="3473"/>
      <c r="Z10" s="288" t="str">
        <f t="shared" si="7"/>
        <v>土地使用年限（年）</v>
      </c>
      <c r="AA10" s="1344">
        <f t="shared" si="3"/>
        <v>1</v>
      </c>
      <c r="AB10" s="1344">
        <f t="shared" si="4"/>
        <v>1</v>
      </c>
      <c r="AC10" s="1344">
        <f t="shared" si="5"/>
        <v>1</v>
      </c>
    </row>
    <row r="11" spans="1:29" ht="15">
      <c r="A11" s="151"/>
      <c r="B11" s="12" t="s">
        <v>91</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27"/>
      <c r="Q11" s="7" t="str">
        <f t="shared" si="6"/>
        <v>容积率</v>
      </c>
      <c r="R11" s="1342" t="s">
        <v>63</v>
      </c>
      <c r="S11" s="1343" t="e">
        <f t="shared" si="0"/>
        <v>#N/A</v>
      </c>
      <c r="T11" s="1342" t="s">
        <v>63</v>
      </c>
      <c r="U11" s="1343" t="e">
        <f t="shared" si="1"/>
        <v>#N/A</v>
      </c>
      <c r="V11" s="1342" t="s">
        <v>63</v>
      </c>
      <c r="W11" s="1343" t="e">
        <f t="shared" si="2"/>
        <v>#N/A</v>
      </c>
      <c r="X11" s="287"/>
      <c r="Y11" s="347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27"/>
      <c r="Q12" s="7">
        <f t="shared" si="6"/>
        <v>111</v>
      </c>
      <c r="R12" s="1342" t="s">
        <v>63</v>
      </c>
      <c r="S12" s="1343">
        <f t="shared" si="0"/>
        <v>100</v>
      </c>
      <c r="T12" s="1342" t="s">
        <v>63</v>
      </c>
      <c r="U12" s="1343">
        <f t="shared" si="1"/>
        <v>100</v>
      </c>
      <c r="V12" s="1342" t="s">
        <v>63</v>
      </c>
      <c r="W12" s="1343">
        <f t="shared" si="2"/>
        <v>100</v>
      </c>
      <c r="X12" s="287"/>
      <c r="Y12" s="347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27"/>
      <c r="Q13" s="7">
        <f t="shared" si="6"/>
        <v>111</v>
      </c>
      <c r="R13" s="1342" t="s">
        <v>63</v>
      </c>
      <c r="S13" s="1343">
        <f t="shared" si="0"/>
        <v>100</v>
      </c>
      <c r="T13" s="1342" t="s">
        <v>63</v>
      </c>
      <c r="U13" s="1343">
        <f t="shared" si="1"/>
        <v>100</v>
      </c>
      <c r="V13" s="1342" t="s">
        <v>63</v>
      </c>
      <c r="W13" s="1343">
        <f t="shared" si="2"/>
        <v>100</v>
      </c>
      <c r="X13" s="287"/>
      <c r="Y13" s="347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27"/>
      <c r="Q14" s="7">
        <f t="shared" si="6"/>
        <v>111</v>
      </c>
      <c r="R14" s="1342" t="s">
        <v>63</v>
      </c>
      <c r="S14" s="1343">
        <f t="shared" si="0"/>
        <v>100</v>
      </c>
      <c r="T14" s="1342" t="s">
        <v>63</v>
      </c>
      <c r="U14" s="1343">
        <f t="shared" si="1"/>
        <v>100</v>
      </c>
      <c r="V14" s="1342" t="s">
        <v>63</v>
      </c>
      <c r="W14" s="1343">
        <f t="shared" si="2"/>
        <v>100</v>
      </c>
      <c r="X14" s="287"/>
      <c r="Y14" s="3473"/>
      <c r="Z14" s="288">
        <f t="shared" si="7"/>
        <v>111</v>
      </c>
      <c r="AA14" s="1344">
        <f t="shared" si="3"/>
        <v>1</v>
      </c>
      <c r="AB14" s="1344">
        <f t="shared" si="4"/>
        <v>1</v>
      </c>
      <c r="AC14" s="1344">
        <f t="shared" si="5"/>
        <v>1</v>
      </c>
    </row>
    <row r="15" spans="1:29" ht="67.5">
      <c r="A15" s="155" t="s">
        <v>67</v>
      </c>
      <c r="B15" s="58" t="s">
        <v>149</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34" t="s">
        <v>67</v>
      </c>
      <c r="Q15" s="1351" t="str">
        <f t="shared" si="6"/>
        <v>产业集聚程度</v>
      </c>
      <c r="R15" s="1352" t="s">
        <v>63</v>
      </c>
      <c r="S15" s="1353">
        <f t="shared" si="0"/>
        <v>100</v>
      </c>
      <c r="T15" s="1352" t="s">
        <v>63</v>
      </c>
      <c r="U15" s="1353">
        <f t="shared" si="1"/>
        <v>100</v>
      </c>
      <c r="V15" s="1352" t="s">
        <v>63</v>
      </c>
      <c r="W15" s="1353">
        <f t="shared" si="2"/>
        <v>100</v>
      </c>
      <c r="X15" s="1340"/>
      <c r="Y15" s="3634" t="s">
        <v>67</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35"/>
      <c r="Q16" s="1351"/>
      <c r="R16" s="1352"/>
      <c r="S16" s="1353"/>
      <c r="T16" s="1352"/>
      <c r="U16" s="1353"/>
      <c r="V16" s="1352"/>
      <c r="W16" s="1353"/>
      <c r="X16" s="1340"/>
      <c r="Y16" s="3635"/>
      <c r="Z16" s="1354"/>
      <c r="AA16" s="1355">
        <v>1</v>
      </c>
      <c r="AB16" s="1355">
        <v>1</v>
      </c>
      <c r="AC16" s="1355">
        <v>1</v>
      </c>
    </row>
    <row r="17" spans="1:29" ht="94.5">
      <c r="A17" s="151"/>
      <c r="B17" s="1356" t="s">
        <v>70</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35"/>
      <c r="Q17" s="1351" t="str">
        <f>B17</f>
        <v>交通便捷度</v>
      </c>
      <c r="R17" s="1352" t="s">
        <v>63</v>
      </c>
      <c r="S17" s="1353">
        <f>F17</f>
        <v>100</v>
      </c>
      <c r="T17" s="1352" t="s">
        <v>63</v>
      </c>
      <c r="U17" s="1353">
        <f>H17</f>
        <v>100</v>
      </c>
      <c r="V17" s="1352" t="s">
        <v>63</v>
      </c>
      <c r="W17" s="1353">
        <f>J17</f>
        <v>100</v>
      </c>
      <c r="X17" s="1340"/>
      <c r="Y17" s="363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35"/>
      <c r="Q18" s="1351"/>
      <c r="R18" s="1352"/>
      <c r="S18" s="1353"/>
      <c r="T18" s="1352"/>
      <c r="U18" s="1353"/>
      <c r="V18" s="1352"/>
      <c r="W18" s="1353"/>
      <c r="X18" s="1340"/>
      <c r="Y18" s="3635"/>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35"/>
      <c r="Q19" s="1351" t="str">
        <f>B19</f>
        <v>公共配套设施</v>
      </c>
      <c r="R19" s="1352" t="s">
        <v>63</v>
      </c>
      <c r="S19" s="1353">
        <f>F19</f>
        <v>100</v>
      </c>
      <c r="T19" s="1352" t="s">
        <v>63</v>
      </c>
      <c r="U19" s="1353">
        <f>H19</f>
        <v>100</v>
      </c>
      <c r="V19" s="1352" t="s">
        <v>63</v>
      </c>
      <c r="W19" s="1353">
        <f>J19</f>
        <v>100</v>
      </c>
      <c r="X19" s="1340"/>
      <c r="Y19" s="363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35"/>
      <c r="Q20" s="1351"/>
      <c r="R20" s="1352"/>
      <c r="S20" s="1353"/>
      <c r="T20" s="1352"/>
      <c r="U20" s="1353"/>
      <c r="V20" s="1352"/>
      <c r="W20" s="1353"/>
      <c r="X20" s="1340"/>
      <c r="Y20" s="3635"/>
      <c r="Z20" s="1354"/>
      <c r="AA20" s="1355">
        <v>1</v>
      </c>
      <c r="AB20" s="1355">
        <v>1</v>
      </c>
      <c r="AC20" s="1355">
        <v>1</v>
      </c>
    </row>
    <row r="21" spans="1:29" ht="40.5">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35"/>
      <c r="Q21" s="2747" t="str">
        <f>B21</f>
        <v>基础设施水平</v>
      </c>
      <c r="R21" s="1352" t="s">
        <v>63</v>
      </c>
      <c r="S21" s="1353">
        <f>F21</f>
        <v>100</v>
      </c>
      <c r="T21" s="1352" t="s">
        <v>63</v>
      </c>
      <c r="U21" s="1353">
        <f>H21</f>
        <v>100</v>
      </c>
      <c r="V21" s="1352" t="s">
        <v>63</v>
      </c>
      <c r="W21" s="1353">
        <f>J21</f>
        <v>100</v>
      </c>
      <c r="X21" s="2749"/>
      <c r="Y21" s="363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35"/>
      <c r="Q22" s="2747"/>
      <c r="R22" s="1352"/>
      <c r="S22" s="1353"/>
      <c r="T22" s="1352"/>
      <c r="U22" s="1353"/>
      <c r="V22" s="1352"/>
      <c r="W22" s="1353"/>
      <c r="X22" s="2749"/>
      <c r="Y22" s="3635"/>
      <c r="Z22" s="2748"/>
      <c r="AA22" s="1355">
        <v>1</v>
      </c>
      <c r="AB22" s="1355">
        <v>1</v>
      </c>
      <c r="AC22" s="1355">
        <v>1</v>
      </c>
    </row>
    <row r="23" spans="1:29" ht="81">
      <c r="A23" s="151"/>
      <c r="B23" s="1356" t="s">
        <v>141</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35"/>
      <c r="Q23" s="1351" t="str">
        <f>B23</f>
        <v>环境质量</v>
      </c>
      <c r="R23" s="1352" t="s">
        <v>63</v>
      </c>
      <c r="S23" s="1353">
        <f>F23</f>
        <v>100</v>
      </c>
      <c r="T23" s="1352" t="s">
        <v>63</v>
      </c>
      <c r="U23" s="1353">
        <f>H23</f>
        <v>100</v>
      </c>
      <c r="V23" s="1352" t="s">
        <v>63</v>
      </c>
      <c r="W23" s="1353">
        <f>J23</f>
        <v>100</v>
      </c>
      <c r="X23" s="1340"/>
      <c r="Y23" s="363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35"/>
      <c r="Q24" s="1351"/>
      <c r="R24" s="1352"/>
      <c r="S24" s="1353"/>
      <c r="T24" s="1352"/>
      <c r="U24" s="1353"/>
      <c r="V24" s="1352"/>
      <c r="W24" s="1353"/>
      <c r="X24" s="1340"/>
      <c r="Y24" s="363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35"/>
      <c r="Q25" s="1351">
        <f>B25</f>
        <v>111</v>
      </c>
      <c r="R25" s="1352" t="s">
        <v>63</v>
      </c>
      <c r="S25" s="1353">
        <f>F25</f>
        <v>100</v>
      </c>
      <c r="T25" s="1352" t="s">
        <v>63</v>
      </c>
      <c r="U25" s="1353">
        <f>H25</f>
        <v>100</v>
      </c>
      <c r="V25" s="1352" t="s">
        <v>63</v>
      </c>
      <c r="W25" s="1353">
        <f>J25</f>
        <v>100</v>
      </c>
      <c r="X25" s="1340"/>
      <c r="Y25" s="363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35"/>
      <c r="Q26" s="1351">
        <f t="shared" ref="Q26:Q40" si="11">B26</f>
        <v>111</v>
      </c>
      <c r="R26" s="1352" t="s">
        <v>63</v>
      </c>
      <c r="S26" s="1353">
        <f>F26</f>
        <v>100</v>
      </c>
      <c r="T26" s="1352" t="s">
        <v>63</v>
      </c>
      <c r="U26" s="1353">
        <f>H26</f>
        <v>100</v>
      </c>
      <c r="V26" s="1352" t="s">
        <v>63</v>
      </c>
      <c r="W26" s="1353">
        <f>J26</f>
        <v>100</v>
      </c>
      <c r="X26" s="1340"/>
      <c r="Y26" s="363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35"/>
      <c r="Q27" s="7">
        <f t="shared" si="11"/>
        <v>111</v>
      </c>
      <c r="R27" s="1342" t="s">
        <v>63</v>
      </c>
      <c r="S27" s="1343">
        <f>F27</f>
        <v>100</v>
      </c>
      <c r="T27" s="1342" t="s">
        <v>63</v>
      </c>
      <c r="U27" s="1343">
        <f>H27</f>
        <v>100</v>
      </c>
      <c r="V27" s="1342" t="s">
        <v>63</v>
      </c>
      <c r="W27" s="1343">
        <f>J27</f>
        <v>100</v>
      </c>
      <c r="X27" s="287"/>
      <c r="Y27" s="363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35"/>
      <c r="Q28" s="1351">
        <f t="shared" si="11"/>
        <v>111</v>
      </c>
      <c r="R28" s="1352" t="s">
        <v>63</v>
      </c>
      <c r="S28" s="1353">
        <f t="shared" ref="S28:S40" si="12">F28</f>
        <v>100</v>
      </c>
      <c r="T28" s="1352" t="s">
        <v>63</v>
      </c>
      <c r="U28" s="1353">
        <f t="shared" ref="U28:U40" si="13">H28</f>
        <v>100</v>
      </c>
      <c r="V28" s="1352" t="s">
        <v>63</v>
      </c>
      <c r="W28" s="1353">
        <f t="shared" ref="W28:W40" si="14">J28</f>
        <v>100</v>
      </c>
      <c r="X28" s="1340"/>
      <c r="Y28" s="3635"/>
      <c r="Z28" s="1354">
        <f t="shared" ref="Z28:Z40" si="15">Q28</f>
        <v>111</v>
      </c>
      <c r="AA28" s="1355">
        <f t="shared" si="3"/>
        <v>1</v>
      </c>
      <c r="AB28" s="1355">
        <f t="shared" si="4"/>
        <v>1</v>
      </c>
      <c r="AC28" s="1355">
        <f t="shared" si="5"/>
        <v>1</v>
      </c>
    </row>
    <row r="29" spans="1:29" ht="15">
      <c r="A29" s="160" t="s">
        <v>68</v>
      </c>
      <c r="B29" s="62" t="s">
        <v>144</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721" t="s">
        <v>1126</v>
      </c>
      <c r="Q29" s="1351" t="str">
        <f t="shared" si="11"/>
        <v>建筑类型</v>
      </c>
      <c r="R29" s="1352" t="s">
        <v>63</v>
      </c>
      <c r="S29" s="1353">
        <f t="shared" si="12"/>
        <v>100</v>
      </c>
      <c r="T29" s="1352" t="s">
        <v>63</v>
      </c>
      <c r="U29" s="1353">
        <f t="shared" si="13"/>
        <v>100</v>
      </c>
      <c r="V29" s="1352" t="s">
        <v>63</v>
      </c>
      <c r="W29" s="1353">
        <f t="shared" si="14"/>
        <v>100</v>
      </c>
      <c r="X29" s="1340"/>
      <c r="Y29" s="3639" t="s">
        <v>1126</v>
      </c>
      <c r="Z29" s="1354" t="str">
        <f t="shared" si="15"/>
        <v>建筑类型</v>
      </c>
      <c r="AA29" s="1355">
        <f t="shared" si="3"/>
        <v>1</v>
      </c>
      <c r="AB29" s="1355">
        <f t="shared" si="4"/>
        <v>1</v>
      </c>
      <c r="AC29" s="1355">
        <f t="shared" si="5"/>
        <v>1</v>
      </c>
    </row>
    <row r="30" spans="1:29" s="1039" customFormat="1" ht="14.25">
      <c r="A30" s="1043"/>
      <c r="B30" s="12" t="s">
        <v>74</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9"/>
      <c r="Q30" s="1359" t="str">
        <f t="shared" si="11"/>
        <v>项目建筑规模</v>
      </c>
      <c r="R30" s="1360" t="s">
        <v>63</v>
      </c>
      <c r="S30" s="1361" t="e">
        <f t="shared" si="12"/>
        <v>#N/A</v>
      </c>
      <c r="T30" s="1360" t="s">
        <v>63</v>
      </c>
      <c r="U30" s="1361" t="e">
        <f t="shared" si="13"/>
        <v>#N/A</v>
      </c>
      <c r="V30" s="1360" t="s">
        <v>63</v>
      </c>
      <c r="W30" s="1361" t="e">
        <f t="shared" si="14"/>
        <v>#N/A</v>
      </c>
      <c r="X30" s="1362"/>
      <c r="Y30" s="3639"/>
      <c r="Z30" s="1363" t="str">
        <f t="shared" si="15"/>
        <v>项目建筑规模</v>
      </c>
      <c r="AA30" s="1355" t="e">
        <f t="shared" si="3"/>
        <v>#N/A</v>
      </c>
      <c r="AB30" s="1355" t="e">
        <f t="shared" si="4"/>
        <v>#N/A</v>
      </c>
      <c r="AC30" s="1355" t="e">
        <f t="shared" si="5"/>
        <v>#N/A</v>
      </c>
    </row>
    <row r="31" spans="1:29" ht="15">
      <c r="A31" s="161"/>
      <c r="B31" s="12" t="s">
        <v>75</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9"/>
      <c r="Q31" s="1351" t="str">
        <f t="shared" si="11"/>
        <v>建筑结构</v>
      </c>
      <c r="R31" s="1352" t="s">
        <v>63</v>
      </c>
      <c r="S31" s="1353">
        <f t="shared" si="12"/>
        <v>100</v>
      </c>
      <c r="T31" s="1352" t="s">
        <v>63</v>
      </c>
      <c r="U31" s="1353">
        <f t="shared" si="13"/>
        <v>100</v>
      </c>
      <c r="V31" s="1352" t="s">
        <v>63</v>
      </c>
      <c r="W31" s="1353">
        <f t="shared" si="14"/>
        <v>100</v>
      </c>
      <c r="X31" s="1340"/>
      <c r="Y31" s="3639"/>
      <c r="Z31" s="1354" t="str">
        <f t="shared" si="15"/>
        <v>建筑结构</v>
      </c>
      <c r="AA31" s="1355">
        <f t="shared" si="3"/>
        <v>1</v>
      </c>
      <c r="AB31" s="1355">
        <f t="shared" si="4"/>
        <v>1</v>
      </c>
      <c r="AC31" s="1355">
        <f t="shared" si="5"/>
        <v>1</v>
      </c>
    </row>
    <row r="32" spans="1:29" ht="15">
      <c r="A32" s="161"/>
      <c r="B32" s="12" t="s">
        <v>1028</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9"/>
      <c r="Q32" s="1351" t="str">
        <f t="shared" si="11"/>
        <v>公共部分装修</v>
      </c>
      <c r="R32" s="1352" t="s">
        <v>63</v>
      </c>
      <c r="S32" s="1353">
        <f t="shared" si="12"/>
        <v>100</v>
      </c>
      <c r="T32" s="1352" t="s">
        <v>63</v>
      </c>
      <c r="U32" s="1353">
        <f t="shared" si="13"/>
        <v>100</v>
      </c>
      <c r="V32" s="1352" t="s">
        <v>63</v>
      </c>
      <c r="W32" s="1353">
        <f t="shared" si="14"/>
        <v>100</v>
      </c>
      <c r="X32" s="1340"/>
      <c r="Y32" s="3639"/>
      <c r="Z32" s="1354" t="str">
        <f t="shared" si="15"/>
        <v>公共部分装修</v>
      </c>
      <c r="AA32" s="1355">
        <f t="shared" si="3"/>
        <v>1</v>
      </c>
      <c r="AB32" s="1355">
        <f t="shared" si="4"/>
        <v>1</v>
      </c>
      <c r="AC32" s="1355">
        <f t="shared" si="5"/>
        <v>1</v>
      </c>
    </row>
    <row r="33" spans="1:29" ht="15">
      <c r="A33" s="161"/>
      <c r="B33" s="12" t="s">
        <v>1029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9"/>
      <c r="Q33" s="1351" t="str">
        <f t="shared" si="11"/>
        <v>成新度</v>
      </c>
      <c r="R33" s="1352" t="s">
        <v>63</v>
      </c>
      <c r="S33" s="1353" t="e">
        <f t="shared" si="12"/>
        <v>#N/A</v>
      </c>
      <c r="T33" s="1352" t="s">
        <v>63</v>
      </c>
      <c r="U33" s="1353" t="e">
        <f t="shared" si="13"/>
        <v>#N/A</v>
      </c>
      <c r="V33" s="1352" t="s">
        <v>63</v>
      </c>
      <c r="W33" s="1353" t="e">
        <f t="shared" si="14"/>
        <v>#N/A</v>
      </c>
      <c r="X33" s="1340"/>
      <c r="Y33" s="3639"/>
      <c r="Z33" s="1354" t="str">
        <f t="shared" si="15"/>
        <v>成新度</v>
      </c>
      <c r="AA33" s="1355" t="e">
        <f t="shared" si="3"/>
        <v>#N/A</v>
      </c>
      <c r="AB33" s="1355" t="e">
        <f t="shared" si="4"/>
        <v>#N/A</v>
      </c>
      <c r="AC33" s="1355" t="e">
        <f t="shared" si="5"/>
        <v>#N/A</v>
      </c>
    </row>
    <row r="34" spans="1:29" s="40" customFormat="1" ht="15">
      <c r="A34" s="1041"/>
      <c r="B34" s="12" t="s">
        <v>1127</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9"/>
      <c r="Q34" s="7" t="str">
        <f t="shared" si="11"/>
        <v>物业管理</v>
      </c>
      <c r="R34" s="1342" t="s">
        <v>63</v>
      </c>
      <c r="S34" s="1343">
        <f t="shared" si="12"/>
        <v>100</v>
      </c>
      <c r="T34" s="1342" t="s">
        <v>63</v>
      </c>
      <c r="U34" s="1343">
        <f t="shared" si="13"/>
        <v>100</v>
      </c>
      <c r="V34" s="1342" t="s">
        <v>63</v>
      </c>
      <c r="W34" s="1343">
        <f t="shared" si="14"/>
        <v>100</v>
      </c>
      <c r="X34" s="287"/>
      <c r="Y34" s="3639"/>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9" t="s">
        <v>68</v>
      </c>
      <c r="Q35" s="1351" t="str">
        <f t="shared" si="11"/>
        <v>市政基础设施</v>
      </c>
      <c r="R35" s="1352" t="s">
        <v>63</v>
      </c>
      <c r="S35" s="1353">
        <f t="shared" si="12"/>
        <v>100</v>
      </c>
      <c r="T35" s="1352" t="s">
        <v>63</v>
      </c>
      <c r="U35" s="1353">
        <f t="shared" si="13"/>
        <v>100</v>
      </c>
      <c r="V35" s="1352" t="s">
        <v>63</v>
      </c>
      <c r="W35" s="1353">
        <f t="shared" si="14"/>
        <v>100</v>
      </c>
      <c r="X35" s="1340"/>
      <c r="Y35" s="3639" t="s">
        <v>68</v>
      </c>
      <c r="Z35" s="1354" t="str">
        <f t="shared" si="15"/>
        <v>市政基础设施</v>
      </c>
      <c r="AA35" s="1355">
        <f t="shared" si="3"/>
        <v>1</v>
      </c>
      <c r="AB35" s="1355">
        <f t="shared" si="4"/>
        <v>1</v>
      </c>
      <c r="AC35" s="1355">
        <f t="shared" si="5"/>
        <v>1</v>
      </c>
    </row>
    <row r="36" spans="1:29" ht="15">
      <c r="A36" s="161"/>
      <c r="B36" s="12" t="s">
        <v>135</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9"/>
      <c r="Q36" s="1351" t="str">
        <f t="shared" si="11"/>
        <v>内部装修</v>
      </c>
      <c r="R36" s="1352" t="s">
        <v>63</v>
      </c>
      <c r="S36" s="1353">
        <f t="shared" si="12"/>
        <v>100</v>
      </c>
      <c r="T36" s="1352" t="s">
        <v>63</v>
      </c>
      <c r="U36" s="1353">
        <f t="shared" si="13"/>
        <v>100</v>
      </c>
      <c r="V36" s="1352" t="s">
        <v>63</v>
      </c>
      <c r="W36" s="1353">
        <f t="shared" si="14"/>
        <v>100</v>
      </c>
      <c r="X36" s="1340"/>
      <c r="Y36" s="3639"/>
      <c r="Z36" s="1354" t="str">
        <f t="shared" si="15"/>
        <v>内部装修</v>
      </c>
      <c r="AA36" s="1355">
        <f t="shared" si="3"/>
        <v>1</v>
      </c>
      <c r="AB36" s="1355">
        <f t="shared" si="4"/>
        <v>1</v>
      </c>
      <c r="AC36" s="1355">
        <f t="shared" si="5"/>
        <v>1</v>
      </c>
    </row>
    <row r="37" spans="1:29" ht="15">
      <c r="A37" s="161"/>
      <c r="B37" s="12" t="s">
        <v>1128</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9"/>
      <c r="Q37" s="1351" t="str">
        <f t="shared" si="11"/>
        <v>内部装修状况</v>
      </c>
      <c r="R37" s="1352" t="s">
        <v>63</v>
      </c>
      <c r="S37" s="1353">
        <f t="shared" si="12"/>
        <v>100</v>
      </c>
      <c r="T37" s="1352" t="s">
        <v>63</v>
      </c>
      <c r="U37" s="1353">
        <f t="shared" si="13"/>
        <v>100</v>
      </c>
      <c r="V37" s="1352" t="s">
        <v>63</v>
      </c>
      <c r="W37" s="1353">
        <f t="shared" si="14"/>
        <v>100</v>
      </c>
      <c r="X37" s="1340"/>
      <c r="Y37" s="363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9"/>
      <c r="Q38" s="1359">
        <f t="shared" si="11"/>
        <v>111</v>
      </c>
      <c r="R38" s="1360" t="s">
        <v>63</v>
      </c>
      <c r="S38" s="1361">
        <f t="shared" si="12"/>
        <v>100</v>
      </c>
      <c r="T38" s="1360" t="s">
        <v>63</v>
      </c>
      <c r="U38" s="1361">
        <f t="shared" si="13"/>
        <v>100</v>
      </c>
      <c r="V38" s="1360" t="s">
        <v>63</v>
      </c>
      <c r="W38" s="1361">
        <f t="shared" si="14"/>
        <v>100</v>
      </c>
      <c r="X38" s="1362"/>
      <c r="Y38" s="363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9"/>
      <c r="Q39" s="1351">
        <f t="shared" si="11"/>
        <v>111</v>
      </c>
      <c r="R39" s="1352" t="s">
        <v>63</v>
      </c>
      <c r="S39" s="1353">
        <f t="shared" si="12"/>
        <v>100</v>
      </c>
      <c r="T39" s="1352" t="s">
        <v>63</v>
      </c>
      <c r="U39" s="1353">
        <f t="shared" si="13"/>
        <v>100</v>
      </c>
      <c r="V39" s="1352" t="s">
        <v>63</v>
      </c>
      <c r="W39" s="1353">
        <f t="shared" si="14"/>
        <v>100</v>
      </c>
      <c r="X39" s="1340"/>
      <c r="Y39" s="363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40"/>
      <c r="Q40" s="1351">
        <f t="shared" si="11"/>
        <v>111</v>
      </c>
      <c r="R40" s="1352" t="s">
        <v>63</v>
      </c>
      <c r="S40" s="1353">
        <f t="shared" si="12"/>
        <v>100</v>
      </c>
      <c r="T40" s="1352" t="s">
        <v>63</v>
      </c>
      <c r="U40" s="1353">
        <f t="shared" si="13"/>
        <v>100</v>
      </c>
      <c r="V40" s="1352" t="s">
        <v>63</v>
      </c>
      <c r="W40" s="1353">
        <f t="shared" si="14"/>
        <v>100</v>
      </c>
      <c r="X40" s="1340"/>
      <c r="Y40" s="3640"/>
      <c r="Z40" s="1354">
        <f t="shared" si="15"/>
        <v>111</v>
      </c>
      <c r="AA40" s="1355">
        <f t="shared" si="3"/>
        <v>1</v>
      </c>
      <c r="AB40" s="1355">
        <f t="shared" si="4"/>
        <v>1</v>
      </c>
      <c r="AC40" s="1355">
        <f t="shared" si="5"/>
        <v>1</v>
      </c>
    </row>
    <row r="41" spans="1:29" ht="15">
      <c r="A41" s="163" t="s">
        <v>100</v>
      </c>
      <c r="B41" s="164"/>
      <c r="C41" s="2834" t="s">
        <v>23</v>
      </c>
      <c r="D41" s="2835"/>
      <c r="E41" s="2836"/>
      <c r="F41" s="2837"/>
      <c r="G41" s="2838"/>
      <c r="H41" s="2839"/>
      <c r="I41" s="2836"/>
      <c r="J41" s="2839"/>
      <c r="K41" s="1393"/>
      <c r="L41" s="2304"/>
      <c r="M41" s="2305"/>
      <c r="N41" s="2297"/>
      <c r="O41" s="2305"/>
      <c r="P41" s="3627" t="str">
        <f>A41</f>
        <v>成交单价（元/平方米）</v>
      </c>
      <c r="Q41" s="3627"/>
      <c r="R41" s="3628">
        <f>E41</f>
        <v>0</v>
      </c>
      <c r="S41" s="3628"/>
      <c r="T41" s="3628">
        <f>G41</f>
        <v>0</v>
      </c>
      <c r="U41" s="3628"/>
      <c r="V41" s="3628">
        <f>I41</f>
        <v>0</v>
      </c>
      <c r="W41" s="3628"/>
      <c r="X41" s="1365"/>
      <c r="Y41" s="1366"/>
      <c r="Z41" s="1365"/>
      <c r="AA41" s="1365"/>
      <c r="AB41" s="1365"/>
      <c r="AC41" s="1365"/>
    </row>
    <row r="42" spans="1:29" ht="15.75" thickBot="1">
      <c r="A42" s="165" t="s">
        <v>98</v>
      </c>
      <c r="B42" s="166"/>
      <c r="C42" s="2840" t="e">
        <f>R43</f>
        <v>#DIV/0!</v>
      </c>
      <c r="D42" s="2841"/>
      <c r="E42" s="2842" t="e">
        <f>R42</f>
        <v>#DIV/0!</v>
      </c>
      <c r="F42" s="2842"/>
      <c r="G42" s="2840" t="e">
        <f>T42</f>
        <v>#DIV/0!</v>
      </c>
      <c r="H42" s="2841"/>
      <c r="I42" s="2842" t="e">
        <f>V42</f>
        <v>#DIV/0!</v>
      </c>
      <c r="J42" s="2841"/>
      <c r="K42" s="1394"/>
      <c r="L42" s="2304"/>
      <c r="M42" s="2305"/>
      <c r="N42" s="2297"/>
      <c r="O42" s="2305"/>
      <c r="P42" s="3627" t="str">
        <f>A42</f>
        <v>比较价值（元/平方米）</v>
      </c>
      <c r="Q42" s="3627"/>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1365"/>
      <c r="Y42" s="1365"/>
      <c r="Z42" s="1365"/>
      <c r="AA42" s="1365"/>
      <c r="AB42" s="1365"/>
      <c r="AC42" s="1365"/>
    </row>
    <row r="43" spans="1:29" ht="15.75" thickBot="1">
      <c r="A43" s="115" t="s">
        <v>3014</v>
      </c>
      <c r="B43" s="116"/>
      <c r="C43" s="2844" t="e">
        <f>R43</f>
        <v>#DIV/0!</v>
      </c>
      <c r="D43" s="2844"/>
      <c r="E43" s="2844"/>
      <c r="F43" s="2844"/>
      <c r="G43" s="2844"/>
      <c r="H43" s="2844"/>
      <c r="I43" s="2844"/>
      <c r="J43" s="2844"/>
      <c r="K43" s="1395"/>
      <c r="L43" s="2304"/>
      <c r="M43" s="2305"/>
      <c r="N43" s="2305"/>
      <c r="O43" s="2305"/>
      <c r="P43" s="3629" t="str">
        <f>A43</f>
        <v>估价对象XX用房的比较价值（楼面单价，元/平方米）</v>
      </c>
      <c r="Q43" s="3630"/>
      <c r="R43" s="3631" t="e">
        <f>IF(F1="售价",ROUND(AVERAGE(R42:V42),0),ROUND(AVERAGE(R42:V42),1))</f>
        <v>#DIV/0!</v>
      </c>
      <c r="S43" s="3631"/>
      <c r="T43" s="3631"/>
      <c r="U43" s="3631"/>
      <c r="V43" s="3631"/>
      <c r="W43" s="3631"/>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125</v>
      </c>
      <c r="B51" s="1365"/>
      <c r="C51" s="1373"/>
      <c r="D51" s="1373"/>
      <c r="E51" s="1373"/>
      <c r="F51" s="1374"/>
      <c r="G51" s="1374"/>
      <c r="H51" s="1373"/>
      <c r="I51" s="1373"/>
      <c r="J51" s="1373"/>
      <c r="K51" s="2311"/>
      <c r="L51" s="2312"/>
      <c r="M51" s="2313"/>
      <c r="N51" s="2313"/>
      <c r="O51" s="2313"/>
      <c r="P51" s="120"/>
      <c r="Q51" s="121"/>
    </row>
    <row r="52" spans="1:17" s="851" customFormat="1" ht="15">
      <c r="A52" s="848" t="s">
        <v>2791</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116</v>
      </c>
      <c r="B54" s="1048"/>
      <c r="C54" s="860"/>
      <c r="D54" s="861"/>
      <c r="E54" s="861"/>
      <c r="F54" s="861"/>
      <c r="G54" s="861"/>
      <c r="H54" s="861"/>
      <c r="I54" s="861"/>
      <c r="J54" s="861"/>
      <c r="K54" s="861"/>
      <c r="L54" s="861"/>
      <c r="M54" s="862"/>
      <c r="N54" s="861"/>
      <c r="O54" s="863"/>
      <c r="P54" s="121"/>
      <c r="Q54" s="121"/>
    </row>
    <row r="55" spans="1:17" s="40" customFormat="1">
      <c r="A55" s="1049" t="s">
        <v>64</v>
      </c>
      <c r="B55" s="1046"/>
      <c r="C55" s="1050" t="s">
        <v>114</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65</v>
      </c>
      <c r="B57" s="286" t="s">
        <v>66</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104</v>
      </c>
      <c r="C59" s="882" t="s">
        <v>1008</v>
      </c>
      <c r="D59" s="882" t="s">
        <v>1009</v>
      </c>
      <c r="E59" s="882" t="s">
        <v>1010</v>
      </c>
      <c r="F59" s="882" t="s">
        <v>1011</v>
      </c>
      <c r="G59" s="882" t="s">
        <v>1012</v>
      </c>
      <c r="H59" s="882" t="s">
        <v>1013</v>
      </c>
      <c r="I59" s="882" t="s">
        <v>1014</v>
      </c>
      <c r="J59" s="882"/>
      <c r="K59" s="883"/>
      <c r="L59" s="884"/>
      <c r="M59" s="885"/>
      <c r="N59" s="1389"/>
      <c r="O59" s="1389"/>
      <c r="P59" s="1"/>
      <c r="Q59" s="121"/>
    </row>
    <row r="60" spans="1:17" ht="15" thickBot="1">
      <c r="A60" s="173"/>
      <c r="B60" s="1055"/>
      <c r="C60" s="887" t="s">
        <v>136</v>
      </c>
      <c r="D60" s="887" t="s">
        <v>137</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91</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67</v>
      </c>
      <c r="B70" s="286" t="s">
        <v>157</v>
      </c>
      <c r="C70" s="916" t="s">
        <v>1015</v>
      </c>
      <c r="D70" s="916" t="s">
        <v>1016</v>
      </c>
      <c r="E70" s="916" t="s">
        <v>1017</v>
      </c>
      <c r="F70" s="916" t="s">
        <v>1018</v>
      </c>
      <c r="G70" s="916" t="s">
        <v>1019</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90</v>
      </c>
      <c r="C72" s="921" t="s">
        <v>1015</v>
      </c>
      <c r="D72" s="921" t="s">
        <v>1016</v>
      </c>
      <c r="E72" s="921" t="s">
        <v>1017</v>
      </c>
      <c r="F72" s="921" t="s">
        <v>1018</v>
      </c>
      <c r="G72" s="921" t="s">
        <v>1019</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1015</v>
      </c>
      <c r="D74" s="921" t="s">
        <v>1016</v>
      </c>
      <c r="E74" s="921" t="s">
        <v>1017</v>
      </c>
      <c r="F74" s="921" t="s">
        <v>1018</v>
      </c>
      <c r="G74" s="921" t="s">
        <v>1019</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147</v>
      </c>
      <c r="C78" s="921" t="s">
        <v>1015</v>
      </c>
      <c r="D78" s="921" t="s">
        <v>1016</v>
      </c>
      <c r="E78" s="921" t="s">
        <v>1017</v>
      </c>
      <c r="F78" s="921" t="s">
        <v>1018</v>
      </c>
      <c r="G78" s="921" t="s">
        <v>1019</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68</v>
      </c>
      <c r="B88" s="286" t="s">
        <v>121</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94</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93</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122</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110</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123</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124</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150</v>
      </c>
      <c r="C106" s="921" t="s">
        <v>1015</v>
      </c>
      <c r="D106" s="921" t="s">
        <v>1016</v>
      </c>
      <c r="E106" s="921" t="s">
        <v>1017</v>
      </c>
      <c r="F106" s="921" t="s">
        <v>1018</v>
      </c>
      <c r="G106" s="921" t="s">
        <v>1019</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27" sqref="C127:F13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3" t="e">
        <f ca="1">SUMIF(INDIRECT("'"&amp;F2&amp;"'"&amp;"!A:A"),"承租人权益价值",INDIRECT("'"&amp;F2&amp;"'"&amp;"!c:c"))</f>
        <v>#REF!</v>
      </c>
      <c r="E2" s="3099" t="s">
        <v>867</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2131</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447</v>
      </c>
      <c r="B4" s="745"/>
      <c r="C4" s="3734" t="s">
        <v>448</v>
      </c>
      <c r="D4" s="3735"/>
      <c r="E4" s="3736" t="s">
        <v>449</v>
      </c>
      <c r="F4" s="3737"/>
      <c r="G4" s="3734" t="s">
        <v>450</v>
      </c>
      <c r="H4" s="3735"/>
      <c r="I4" s="3734" t="s">
        <v>451</v>
      </c>
      <c r="J4" s="3735"/>
      <c r="K4" s="953" t="s">
        <v>452</v>
      </c>
      <c r="L4" s="2349"/>
      <c r="M4" s="2350"/>
      <c r="N4" s="2350"/>
      <c r="O4" s="2350"/>
      <c r="P4" s="3738" t="s">
        <v>453</v>
      </c>
      <c r="Q4" s="3739"/>
      <c r="R4" s="3744" t="s">
        <v>449</v>
      </c>
      <c r="S4" s="3745"/>
      <c r="T4" s="3744" t="s">
        <v>450</v>
      </c>
      <c r="U4" s="3745"/>
      <c r="V4" s="3750" t="s">
        <v>451</v>
      </c>
      <c r="W4" s="3750"/>
      <c r="X4" s="2831"/>
      <c r="Y4" s="3744" t="s">
        <v>453</v>
      </c>
      <c r="Z4" s="3745"/>
      <c r="AA4" s="3731" t="s">
        <v>449</v>
      </c>
      <c r="AB4" s="3732" t="s">
        <v>450</v>
      </c>
      <c r="AC4" s="3731" t="s">
        <v>451</v>
      </c>
    </row>
    <row r="5" spans="1:29" ht="15">
      <c r="A5" s="747"/>
      <c r="B5" s="748"/>
      <c r="C5" s="3753" t="s">
        <v>3015</v>
      </c>
      <c r="D5" s="3754"/>
      <c r="E5" s="3760" t="s">
        <v>3016</v>
      </c>
      <c r="F5" s="3761"/>
      <c r="G5" s="3753" t="s">
        <v>3017</v>
      </c>
      <c r="H5" s="3754"/>
      <c r="I5" s="3753" t="s">
        <v>3018</v>
      </c>
      <c r="J5" s="3754"/>
      <c r="K5" s="953"/>
      <c r="L5" s="2349"/>
      <c r="M5" s="2350"/>
      <c r="N5" s="2350"/>
      <c r="O5" s="2350"/>
      <c r="P5" s="3740"/>
      <c r="Q5" s="3741"/>
      <c r="R5" s="3746"/>
      <c r="S5" s="3747"/>
      <c r="T5" s="3746"/>
      <c r="U5" s="3747"/>
      <c r="V5" s="3750"/>
      <c r="W5" s="3750"/>
      <c r="X5" s="2831"/>
      <c r="Y5" s="3746"/>
      <c r="Z5" s="3747"/>
      <c r="AA5" s="3732"/>
      <c r="AB5" s="3732"/>
      <c r="AC5" s="3732"/>
    </row>
    <row r="6" spans="1:29" ht="15.75" thickBot="1">
      <c r="A6" s="749"/>
      <c r="B6" s="750"/>
      <c r="C6" s="3751" t="s">
        <v>3019</v>
      </c>
      <c r="D6" s="3752"/>
      <c r="E6" s="3758" t="s">
        <v>3019</v>
      </c>
      <c r="F6" s="3759"/>
      <c r="G6" s="3751" t="s">
        <v>3019</v>
      </c>
      <c r="H6" s="3752"/>
      <c r="I6" s="3751" t="s">
        <v>3019</v>
      </c>
      <c r="J6" s="3752"/>
      <c r="K6" s="953" t="s">
        <v>395</v>
      </c>
      <c r="L6" s="2349"/>
      <c r="M6" s="2350"/>
      <c r="N6" s="2350"/>
      <c r="O6" s="2350"/>
      <c r="P6" s="3742"/>
      <c r="Q6" s="3743"/>
      <c r="R6" s="3746"/>
      <c r="S6" s="3747"/>
      <c r="T6" s="3748"/>
      <c r="U6" s="3749"/>
      <c r="V6" s="3750"/>
      <c r="W6" s="3750"/>
      <c r="X6" s="2831"/>
      <c r="Y6" s="3748"/>
      <c r="Z6" s="3749"/>
      <c r="AA6" s="3733"/>
      <c r="AB6" s="3733"/>
      <c r="AC6" s="3733"/>
    </row>
    <row r="7" spans="1:29" s="407" customFormat="1" ht="15.75" thickBot="1">
      <c r="A7" s="751" t="s">
        <v>396</v>
      </c>
      <c r="B7" s="752"/>
      <c r="C7" s="753">
        <f>'数据-取费表'!B2</f>
        <v>42997</v>
      </c>
      <c r="D7" s="754">
        <v>100</v>
      </c>
      <c r="E7" s="755"/>
      <c r="F7" s="756">
        <f>SUMIF(48:48,YEAR(E7)&amp;"-"&amp;MONTH(E7),49:49)</f>
        <v>0</v>
      </c>
      <c r="G7" s="755"/>
      <c r="H7" s="754">
        <f>SUMIF(48:48,YEAR(G7)&amp;"-"&amp;MONTH(G7),49:49)</f>
        <v>0</v>
      </c>
      <c r="I7" s="755"/>
      <c r="J7" s="754">
        <f>SUMIF(48:48,YEAR(I7)&amp;"-"&amp;MONTH(I7),49:49)</f>
        <v>0</v>
      </c>
      <c r="K7" s="954"/>
      <c r="L7" s="2351"/>
      <c r="M7" s="2352"/>
      <c r="N7" s="2352"/>
      <c r="O7" s="2352"/>
      <c r="P7" s="3755" t="s">
        <v>397</v>
      </c>
      <c r="Q7" s="3757"/>
      <c r="R7" s="1319" t="s">
        <v>63</v>
      </c>
      <c r="S7" s="1320">
        <f t="shared" ref="S7:S14" si="0">F7</f>
        <v>0</v>
      </c>
      <c r="T7" s="1319" t="s">
        <v>63</v>
      </c>
      <c r="U7" s="1320">
        <f t="shared" ref="U7:U14" si="1">H7</f>
        <v>0</v>
      </c>
      <c r="V7" s="1319" t="s">
        <v>63</v>
      </c>
      <c r="W7" s="1320">
        <f t="shared" ref="W7:W14" si="2">J7</f>
        <v>0</v>
      </c>
      <c r="X7" s="1321"/>
      <c r="Y7" s="3755" t="s">
        <v>397</v>
      </c>
      <c r="Z7" s="3756"/>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755" t="s">
        <v>433</v>
      </c>
      <c r="Q8" s="3756"/>
      <c r="R8" s="1319" t="s">
        <v>63</v>
      </c>
      <c r="S8" s="1320">
        <f t="shared" si="0"/>
        <v>0</v>
      </c>
      <c r="T8" s="1319" t="s">
        <v>63</v>
      </c>
      <c r="U8" s="1320">
        <f t="shared" si="1"/>
        <v>0</v>
      </c>
      <c r="V8" s="1319" t="s">
        <v>63</v>
      </c>
      <c r="W8" s="1320">
        <f t="shared" si="2"/>
        <v>0</v>
      </c>
      <c r="X8" s="1321"/>
      <c r="Y8" s="3755" t="s">
        <v>433</v>
      </c>
      <c r="Z8" s="3756"/>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722" t="s">
        <v>400</v>
      </c>
      <c r="Q9" s="2830" t="str">
        <f t="shared" ref="Q9:Q14" si="6">B9</f>
        <v>用途</v>
      </c>
      <c r="R9" s="1319" t="s">
        <v>63</v>
      </c>
      <c r="S9" s="1320">
        <f t="shared" si="0"/>
        <v>100</v>
      </c>
      <c r="T9" s="1319" t="s">
        <v>63</v>
      </c>
      <c r="U9" s="1320">
        <f t="shared" si="1"/>
        <v>100</v>
      </c>
      <c r="V9" s="1319" t="s">
        <v>63</v>
      </c>
      <c r="W9" s="1320">
        <f t="shared" si="2"/>
        <v>100</v>
      </c>
      <c r="X9" s="1321"/>
      <c r="Y9" s="3522"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722"/>
      <c r="Q10" s="2830" t="str">
        <f t="shared" si="6"/>
        <v>土地使用年限（年）</v>
      </c>
      <c r="R10" s="1319" t="s">
        <v>63</v>
      </c>
      <c r="S10" s="1320">
        <f t="shared" si="0"/>
        <v>100</v>
      </c>
      <c r="T10" s="1319" t="s">
        <v>63</v>
      </c>
      <c r="U10" s="1320">
        <f t="shared" si="1"/>
        <v>100</v>
      </c>
      <c r="V10" s="1319" t="s">
        <v>63</v>
      </c>
      <c r="W10" s="1320">
        <f t="shared" si="2"/>
        <v>100</v>
      </c>
      <c r="X10" s="1321"/>
      <c r="Y10" s="352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722"/>
      <c r="Q11" s="2830">
        <f t="shared" si="6"/>
        <v>111</v>
      </c>
      <c r="R11" s="1319" t="s">
        <v>63</v>
      </c>
      <c r="S11" s="1320">
        <f t="shared" si="0"/>
        <v>100</v>
      </c>
      <c r="T11" s="1319" t="s">
        <v>63</v>
      </c>
      <c r="U11" s="1320">
        <f t="shared" si="1"/>
        <v>100</v>
      </c>
      <c r="V11" s="1319" t="s">
        <v>63</v>
      </c>
      <c r="W11" s="1320">
        <f t="shared" si="2"/>
        <v>100</v>
      </c>
      <c r="X11" s="1321"/>
      <c r="Y11" s="352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722"/>
      <c r="Q12" s="2830">
        <f t="shared" si="6"/>
        <v>111</v>
      </c>
      <c r="R12" s="1319" t="s">
        <v>63</v>
      </c>
      <c r="S12" s="1320">
        <f t="shared" si="0"/>
        <v>100</v>
      </c>
      <c r="T12" s="1319" t="s">
        <v>63</v>
      </c>
      <c r="U12" s="1320">
        <f t="shared" si="1"/>
        <v>100</v>
      </c>
      <c r="V12" s="1319" t="s">
        <v>63</v>
      </c>
      <c r="W12" s="1320">
        <f t="shared" si="2"/>
        <v>100</v>
      </c>
      <c r="X12" s="1321"/>
      <c r="Y12" s="352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722"/>
      <c r="Q13" s="2830">
        <f t="shared" si="6"/>
        <v>111</v>
      </c>
      <c r="R13" s="1319" t="s">
        <v>63</v>
      </c>
      <c r="S13" s="1320">
        <f t="shared" si="0"/>
        <v>100</v>
      </c>
      <c r="T13" s="1319" t="s">
        <v>63</v>
      </c>
      <c r="U13" s="1320">
        <f t="shared" si="1"/>
        <v>100</v>
      </c>
      <c r="V13" s="1319" t="s">
        <v>63</v>
      </c>
      <c r="W13" s="1320">
        <f t="shared" si="2"/>
        <v>100</v>
      </c>
      <c r="X13" s="1321"/>
      <c r="Y13" s="3522"/>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727" t="s">
        <v>405</v>
      </c>
      <c r="Q14" s="2832" t="str">
        <f t="shared" si="6"/>
        <v>交通便捷度</v>
      </c>
      <c r="R14" s="1324" t="s">
        <v>63</v>
      </c>
      <c r="S14" s="1325">
        <f t="shared" si="0"/>
        <v>100</v>
      </c>
      <c r="T14" s="1324" t="s">
        <v>63</v>
      </c>
      <c r="U14" s="1325">
        <f t="shared" si="1"/>
        <v>100</v>
      </c>
      <c r="V14" s="1324" t="s">
        <v>63</v>
      </c>
      <c r="W14" s="1325">
        <f t="shared" si="2"/>
        <v>100</v>
      </c>
      <c r="X14" s="2831"/>
      <c r="Y14" s="3727"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728"/>
      <c r="Q15" s="2832"/>
      <c r="R15" s="1324"/>
      <c r="S15" s="1325"/>
      <c r="T15" s="1324"/>
      <c r="U15" s="1325"/>
      <c r="V15" s="1324"/>
      <c r="W15" s="1325"/>
      <c r="X15" s="2831"/>
      <c r="Y15" s="3728"/>
      <c r="Z15" s="2833"/>
      <c r="AA15" s="1327">
        <v>1</v>
      </c>
      <c r="AB15" s="1327">
        <v>1</v>
      </c>
      <c r="AC15" s="1327">
        <v>1</v>
      </c>
    </row>
    <row r="16" spans="1:29" ht="40.5">
      <c r="A16" s="747"/>
      <c r="B16" s="1034" t="s">
        <v>2664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728"/>
      <c r="Q16" s="2832" t="str">
        <f>B16</f>
        <v>公共配套设施</v>
      </c>
      <c r="R16" s="1324" t="s">
        <v>63</v>
      </c>
      <c r="S16" s="1325">
        <f>F16</f>
        <v>100</v>
      </c>
      <c r="T16" s="1324" t="s">
        <v>63</v>
      </c>
      <c r="U16" s="1325">
        <f>H16</f>
        <v>100</v>
      </c>
      <c r="V16" s="1324" t="s">
        <v>63</v>
      </c>
      <c r="W16" s="1325">
        <f>J16</f>
        <v>100</v>
      </c>
      <c r="X16" s="2831"/>
      <c r="Y16" s="3728"/>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728"/>
      <c r="Q17" s="2832"/>
      <c r="R17" s="1324"/>
      <c r="S17" s="1325"/>
      <c r="T17" s="1324"/>
      <c r="U17" s="1325"/>
      <c r="V17" s="1324"/>
      <c r="W17" s="1325"/>
      <c r="X17" s="2831"/>
      <c r="Y17" s="3728"/>
      <c r="Z17" s="2833"/>
      <c r="AA17" s="1327">
        <v>1</v>
      </c>
      <c r="AB17" s="1327">
        <v>1</v>
      </c>
      <c r="AC17" s="1327">
        <v>1</v>
      </c>
    </row>
    <row r="18" spans="1:29" ht="40.5">
      <c r="A18" s="747"/>
      <c r="B18" s="1036" t="s">
        <v>2663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728"/>
      <c r="Q18" s="2832" t="str">
        <f>B18</f>
        <v>基础设施水平</v>
      </c>
      <c r="R18" s="1324" t="s">
        <v>63</v>
      </c>
      <c r="S18" s="1325">
        <f>F18</f>
        <v>100</v>
      </c>
      <c r="T18" s="1324" t="s">
        <v>63</v>
      </c>
      <c r="U18" s="1325">
        <f>H18</f>
        <v>100</v>
      </c>
      <c r="V18" s="1324" t="s">
        <v>63</v>
      </c>
      <c r="W18" s="1325">
        <f>J18</f>
        <v>100</v>
      </c>
      <c r="X18" s="2831"/>
      <c r="Y18" s="3728"/>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728"/>
      <c r="Q19" s="2832"/>
      <c r="R19" s="1324"/>
      <c r="S19" s="1325"/>
      <c r="T19" s="1324"/>
      <c r="U19" s="1325"/>
      <c r="V19" s="1324"/>
      <c r="W19" s="1325"/>
      <c r="X19" s="2831"/>
      <c r="Y19" s="3728"/>
      <c r="Z19" s="2833"/>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728"/>
      <c r="Q20" s="2832" t="str">
        <f>B20</f>
        <v>自然及人文环境</v>
      </c>
      <c r="R20" s="1324" t="s">
        <v>63</v>
      </c>
      <c r="S20" s="1325">
        <f>F20</f>
        <v>100</v>
      </c>
      <c r="T20" s="1324" t="s">
        <v>63</v>
      </c>
      <c r="U20" s="1325">
        <f>H20</f>
        <v>100</v>
      </c>
      <c r="V20" s="1324" t="s">
        <v>63</v>
      </c>
      <c r="W20" s="1325">
        <f>J20</f>
        <v>100</v>
      </c>
      <c r="X20" s="2831"/>
      <c r="Y20" s="3728"/>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728"/>
      <c r="Q21" s="2832"/>
      <c r="R21" s="1324"/>
      <c r="S21" s="1325"/>
      <c r="T21" s="1324"/>
      <c r="U21" s="1325"/>
      <c r="V21" s="1324"/>
      <c r="W21" s="1325"/>
      <c r="X21" s="2831"/>
      <c r="Y21" s="3728"/>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728"/>
      <c r="Q22" s="2832" t="str">
        <f>B22</f>
        <v>楼层</v>
      </c>
      <c r="R22" s="1324" t="s">
        <v>63</v>
      </c>
      <c r="S22" s="1325">
        <f>F22</f>
        <v>100</v>
      </c>
      <c r="T22" s="1324" t="s">
        <v>63</v>
      </c>
      <c r="U22" s="1325">
        <f>H22</f>
        <v>100</v>
      </c>
      <c r="V22" s="1324" t="s">
        <v>63</v>
      </c>
      <c r="W22" s="1325">
        <f>J22</f>
        <v>100</v>
      </c>
      <c r="X22" s="2831"/>
      <c r="Y22" s="3728"/>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728"/>
      <c r="Q23" s="2832">
        <f>B23</f>
        <v>111</v>
      </c>
      <c r="R23" s="1324" t="s">
        <v>63</v>
      </c>
      <c r="S23" s="1325">
        <f>F23</f>
        <v>100</v>
      </c>
      <c r="T23" s="1324" t="s">
        <v>63</v>
      </c>
      <c r="U23" s="1325">
        <f>H23</f>
        <v>100</v>
      </c>
      <c r="V23" s="1324" t="s">
        <v>63</v>
      </c>
      <c r="W23" s="1325">
        <f>J23</f>
        <v>100</v>
      </c>
      <c r="X23" s="2831"/>
      <c r="Y23" s="3728"/>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728"/>
      <c r="Q24" s="2832">
        <f t="shared" ref="Q24:Q36" si="11">B24</f>
        <v>111</v>
      </c>
      <c r="R24" s="1324" t="s">
        <v>63</v>
      </c>
      <c r="S24" s="1325">
        <f>F24</f>
        <v>100</v>
      </c>
      <c r="T24" s="1324" t="s">
        <v>63</v>
      </c>
      <c r="U24" s="1325">
        <f>H24</f>
        <v>100</v>
      </c>
      <c r="V24" s="1324" t="s">
        <v>63</v>
      </c>
      <c r="W24" s="1325">
        <f>J24</f>
        <v>100</v>
      </c>
      <c r="X24" s="2831"/>
      <c r="Y24" s="3728"/>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728"/>
      <c r="Q25" s="2830">
        <f t="shared" si="11"/>
        <v>111</v>
      </c>
      <c r="R25" s="1319" t="s">
        <v>63</v>
      </c>
      <c r="S25" s="1320">
        <f>F25</f>
        <v>100</v>
      </c>
      <c r="T25" s="1319" t="s">
        <v>63</v>
      </c>
      <c r="U25" s="1320">
        <f>H25</f>
        <v>100</v>
      </c>
      <c r="V25" s="1319" t="s">
        <v>63</v>
      </c>
      <c r="W25" s="1320">
        <f>J25</f>
        <v>100</v>
      </c>
      <c r="X25" s="1321"/>
      <c r="Y25" s="3728"/>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729" t="s">
        <v>407</v>
      </c>
      <c r="Q26" s="2832" t="str">
        <f t="shared" si="11"/>
        <v>配套类型</v>
      </c>
      <c r="R26" s="1324" t="s">
        <v>63</v>
      </c>
      <c r="S26" s="1325">
        <f t="shared" ref="S26:S36" si="12">F26</f>
        <v>100</v>
      </c>
      <c r="T26" s="1324" t="s">
        <v>63</v>
      </c>
      <c r="U26" s="1325">
        <f t="shared" ref="U26:U36" si="13">H26</f>
        <v>100</v>
      </c>
      <c r="V26" s="1324" t="s">
        <v>63</v>
      </c>
      <c r="W26" s="1325">
        <f t="shared" ref="W26:W36" si="14">J26</f>
        <v>100</v>
      </c>
      <c r="X26" s="2831"/>
      <c r="Y26" s="3730"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730"/>
      <c r="Q27" s="1328" t="str">
        <f t="shared" si="11"/>
        <v>项目停车位配比</v>
      </c>
      <c r="R27" s="1329" t="s">
        <v>63</v>
      </c>
      <c r="S27" s="1330">
        <f t="shared" si="12"/>
        <v>100</v>
      </c>
      <c r="T27" s="1329" t="s">
        <v>63</v>
      </c>
      <c r="U27" s="1330">
        <f t="shared" si="13"/>
        <v>100</v>
      </c>
      <c r="V27" s="1329" t="s">
        <v>63</v>
      </c>
      <c r="W27" s="1330">
        <f t="shared" si="14"/>
        <v>100</v>
      </c>
      <c r="X27" s="1331"/>
      <c r="Y27" s="3730"/>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730"/>
      <c r="Q28" s="2832" t="str">
        <f t="shared" si="11"/>
        <v>公共部分装修</v>
      </c>
      <c r="R28" s="1324" t="s">
        <v>63</v>
      </c>
      <c r="S28" s="1325">
        <f t="shared" si="12"/>
        <v>100</v>
      </c>
      <c r="T28" s="1324" t="s">
        <v>63</v>
      </c>
      <c r="U28" s="1325">
        <f t="shared" si="13"/>
        <v>100</v>
      </c>
      <c r="V28" s="1324" t="s">
        <v>63</v>
      </c>
      <c r="W28" s="1325">
        <f t="shared" si="14"/>
        <v>100</v>
      </c>
      <c r="X28" s="2831"/>
      <c r="Y28" s="3730"/>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730"/>
      <c r="Q29" s="2832" t="str">
        <f t="shared" si="11"/>
        <v>成新率</v>
      </c>
      <c r="R29" s="1324" t="s">
        <v>63</v>
      </c>
      <c r="S29" s="1325" t="e">
        <f t="shared" si="12"/>
        <v>#N/A</v>
      </c>
      <c r="T29" s="1324" t="s">
        <v>63</v>
      </c>
      <c r="U29" s="1325" t="e">
        <f t="shared" si="13"/>
        <v>#N/A</v>
      </c>
      <c r="V29" s="1324" t="s">
        <v>63</v>
      </c>
      <c r="W29" s="1325" t="e">
        <f t="shared" si="14"/>
        <v>#N/A</v>
      </c>
      <c r="X29" s="2831"/>
      <c r="Y29" s="3730"/>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730"/>
      <c r="Q30" s="2832" t="str">
        <f t="shared" si="11"/>
        <v>物业等级</v>
      </c>
      <c r="R30" s="1324" t="s">
        <v>63</v>
      </c>
      <c r="S30" s="1325">
        <f t="shared" si="12"/>
        <v>100</v>
      </c>
      <c r="T30" s="1324" t="s">
        <v>63</v>
      </c>
      <c r="U30" s="1325">
        <f t="shared" si="13"/>
        <v>100</v>
      </c>
      <c r="V30" s="1324" t="s">
        <v>63</v>
      </c>
      <c r="W30" s="1325">
        <f t="shared" si="14"/>
        <v>100</v>
      </c>
      <c r="X30" s="2831"/>
      <c r="Y30" s="3730"/>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730"/>
      <c r="Q31" s="2830" t="str">
        <f t="shared" si="11"/>
        <v>停车位面积</v>
      </c>
      <c r="R31" s="1319" t="s">
        <v>63</v>
      </c>
      <c r="S31" s="1320" t="e">
        <f t="shared" si="12"/>
        <v>#N/A</v>
      </c>
      <c r="T31" s="1319" t="s">
        <v>63</v>
      </c>
      <c r="U31" s="1320" t="e">
        <f t="shared" si="13"/>
        <v>#N/A</v>
      </c>
      <c r="V31" s="1319" t="s">
        <v>63</v>
      </c>
      <c r="W31" s="1320" t="e">
        <f t="shared" si="14"/>
        <v>#N/A</v>
      </c>
      <c r="X31" s="1321"/>
      <c r="Y31" s="3730"/>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730" t="s">
        <v>407</v>
      </c>
      <c r="Q32" s="2832" t="str">
        <f t="shared" si="11"/>
        <v>车位类型</v>
      </c>
      <c r="R32" s="1324" t="s">
        <v>63</v>
      </c>
      <c r="S32" s="1325">
        <f t="shared" si="12"/>
        <v>100</v>
      </c>
      <c r="T32" s="1324" t="s">
        <v>63</v>
      </c>
      <c r="U32" s="1325">
        <f t="shared" si="13"/>
        <v>100</v>
      </c>
      <c r="V32" s="1324" t="s">
        <v>63</v>
      </c>
      <c r="W32" s="1325">
        <f t="shared" si="14"/>
        <v>100</v>
      </c>
      <c r="X32" s="2831"/>
      <c r="Y32" s="3730"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730"/>
      <c r="Q33" s="2832" t="str">
        <f t="shared" si="11"/>
        <v>是否直接入户</v>
      </c>
      <c r="R33" s="1324" t="s">
        <v>63</v>
      </c>
      <c r="S33" s="1325">
        <f t="shared" si="12"/>
        <v>100</v>
      </c>
      <c r="T33" s="1324" t="s">
        <v>63</v>
      </c>
      <c r="U33" s="1325">
        <f t="shared" si="13"/>
        <v>100</v>
      </c>
      <c r="V33" s="1324" t="s">
        <v>63</v>
      </c>
      <c r="W33" s="1325">
        <f t="shared" si="14"/>
        <v>100</v>
      </c>
      <c r="X33" s="2831"/>
      <c r="Y33" s="3730"/>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730"/>
      <c r="Q34" s="2832">
        <f t="shared" si="11"/>
        <v>111</v>
      </c>
      <c r="R34" s="1324" t="s">
        <v>63</v>
      </c>
      <c r="S34" s="1325">
        <f t="shared" si="12"/>
        <v>100</v>
      </c>
      <c r="T34" s="1324" t="s">
        <v>63</v>
      </c>
      <c r="U34" s="1325">
        <f t="shared" si="13"/>
        <v>100</v>
      </c>
      <c r="V34" s="1324" t="s">
        <v>63</v>
      </c>
      <c r="W34" s="1325">
        <f t="shared" si="14"/>
        <v>100</v>
      </c>
      <c r="X34" s="2831"/>
      <c r="Y34" s="3730"/>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730"/>
      <c r="Q35" s="1328">
        <f t="shared" si="11"/>
        <v>111</v>
      </c>
      <c r="R35" s="1329" t="s">
        <v>63</v>
      </c>
      <c r="S35" s="1330">
        <f t="shared" si="12"/>
        <v>100</v>
      </c>
      <c r="T35" s="1329" t="s">
        <v>63</v>
      </c>
      <c r="U35" s="1330">
        <f t="shared" si="13"/>
        <v>100</v>
      </c>
      <c r="V35" s="1329" t="s">
        <v>63</v>
      </c>
      <c r="W35" s="1330">
        <f t="shared" si="14"/>
        <v>100</v>
      </c>
      <c r="X35" s="1331"/>
      <c r="Y35" s="373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730"/>
      <c r="Q36" s="2832">
        <f t="shared" si="11"/>
        <v>111</v>
      </c>
      <c r="R36" s="1324" t="s">
        <v>63</v>
      </c>
      <c r="S36" s="1325">
        <f t="shared" si="12"/>
        <v>100</v>
      </c>
      <c r="T36" s="1324" t="s">
        <v>63</v>
      </c>
      <c r="U36" s="1325">
        <f t="shared" si="13"/>
        <v>100</v>
      </c>
      <c r="V36" s="1324" t="s">
        <v>63</v>
      </c>
      <c r="W36" s="1325">
        <f t="shared" si="14"/>
        <v>100</v>
      </c>
      <c r="X36" s="2831"/>
      <c r="Y36" s="3730"/>
      <c r="Z36" s="2833">
        <f t="shared" si="15"/>
        <v>111</v>
      </c>
      <c r="AA36" s="1327">
        <f t="shared" si="3"/>
        <v>1</v>
      </c>
      <c r="AB36" s="1327">
        <f t="shared" si="4"/>
        <v>1</v>
      </c>
      <c r="AC36" s="1327">
        <f t="shared" si="5"/>
        <v>1</v>
      </c>
    </row>
    <row r="37" spans="1:29" ht="15">
      <c r="A37" s="163" t="s">
        <v>2132</v>
      </c>
      <c r="B37" s="2100" t="s">
        <v>2133</v>
      </c>
      <c r="C37" s="2834" t="s">
        <v>23</v>
      </c>
      <c r="D37" s="2835"/>
      <c r="E37" s="2836"/>
      <c r="F37" s="2837"/>
      <c r="G37" s="2838"/>
      <c r="H37" s="2839"/>
      <c r="I37" s="2836"/>
      <c r="J37" s="2839"/>
      <c r="K37" s="962"/>
      <c r="L37" s="2362"/>
      <c r="M37" s="2363"/>
      <c r="N37" s="2350"/>
      <c r="O37" s="2363"/>
      <c r="P37" s="3722" t="str">
        <f>A37</f>
        <v>成交单价</v>
      </c>
      <c r="Q37" s="3722"/>
      <c r="R37" s="3723">
        <f>E37</f>
        <v>0</v>
      </c>
      <c r="S37" s="3723"/>
      <c r="T37" s="3723">
        <f>G37</f>
        <v>0</v>
      </c>
      <c r="U37" s="3723"/>
      <c r="V37" s="3723">
        <f>I37</f>
        <v>0</v>
      </c>
      <c r="W37" s="3723"/>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1307"/>
      <c r="Y38" s="1307"/>
      <c r="Z38" s="1307"/>
      <c r="AA38" s="1307"/>
      <c r="AB38" s="1307"/>
      <c r="AC38" s="1307"/>
    </row>
    <row r="39" spans="1:29" ht="15.75" thickBot="1">
      <c r="A39" s="835" t="s">
        <v>3020</v>
      </c>
      <c r="B39" s="836"/>
      <c r="C39" s="2844" t="e">
        <f>R39</f>
        <v>#DIV/0!</v>
      </c>
      <c r="D39" s="2844"/>
      <c r="E39" s="2844"/>
      <c r="F39" s="2844"/>
      <c r="G39" s="2844"/>
      <c r="H39" s="2844"/>
      <c r="I39" s="2844"/>
      <c r="J39" s="2844"/>
      <c r="K39" s="964"/>
      <c r="L39" s="2362"/>
      <c r="M39" s="2363"/>
      <c r="N39" s="2363"/>
      <c r="O39" s="2363"/>
      <c r="P39" s="3724" t="str">
        <f>A39</f>
        <v>估价对象XX用房的比较价值（楼面单价，元/平方米）</v>
      </c>
      <c r="Q39" s="3725"/>
      <c r="R39" s="3726" t="e">
        <f>IF(F1="售价",ROUND(AVERAGE(R38:V38),0),ROUND(AVERAGE(R38:V38),1))</f>
        <v>#DIV/0!</v>
      </c>
      <c r="S39" s="3726"/>
      <c r="T39" s="3726"/>
      <c r="U39" s="3726"/>
      <c r="V39" s="3726"/>
      <c r="W39" s="372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413</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2791</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136</v>
      </c>
      <c r="D56" s="887" t="s">
        <v>137</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2635</v>
      </c>
      <c r="C65" s="921" t="s">
        <v>423</v>
      </c>
      <c r="D65" s="921" t="s">
        <v>424</v>
      </c>
      <c r="E65" s="921" t="s">
        <v>425</v>
      </c>
      <c r="F65" s="921" t="s">
        <v>426</v>
      </c>
      <c r="G65" s="921" t="s">
        <v>427</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2665</v>
      </c>
      <c r="C67" s="213" t="s">
        <v>2655</v>
      </c>
      <c r="D67" s="213" t="s">
        <v>2656</v>
      </c>
      <c r="E67" s="213" t="s">
        <v>2657</v>
      </c>
      <c r="F67" s="213" t="s">
        <v>2658</v>
      </c>
      <c r="G67" s="213" t="s">
        <v>2659</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127" sqref="C127:F13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3" t="e">
        <f ca="1">SUMIF(INDIRECT("'"&amp;F2&amp;"'"&amp;"!A:A"),"承租人权益价值",INDIRECT("'"&amp;F2&amp;"'"&amp;"!c:c"))</f>
        <v>#REF!</v>
      </c>
      <c r="E2" s="3099" t="s">
        <v>867</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734" t="s">
        <v>448</v>
      </c>
      <c r="D4" s="3735"/>
      <c r="E4" s="3736" t="s">
        <v>449</v>
      </c>
      <c r="F4" s="3737"/>
      <c r="G4" s="3734" t="s">
        <v>450</v>
      </c>
      <c r="H4" s="3735"/>
      <c r="I4" s="3734" t="s">
        <v>451</v>
      </c>
      <c r="J4" s="3735"/>
      <c r="K4" s="953" t="s">
        <v>452</v>
      </c>
      <c r="L4" s="2349"/>
      <c r="M4" s="2350"/>
      <c r="N4" s="2350"/>
      <c r="O4" s="2350"/>
      <c r="P4" s="3738" t="s">
        <v>453</v>
      </c>
      <c r="Q4" s="3739"/>
      <c r="R4" s="3744" t="s">
        <v>449</v>
      </c>
      <c r="S4" s="3745"/>
      <c r="T4" s="3744" t="s">
        <v>450</v>
      </c>
      <c r="U4" s="3745"/>
      <c r="V4" s="3750" t="s">
        <v>451</v>
      </c>
      <c r="W4" s="3750"/>
      <c r="X4" s="1318"/>
      <c r="Y4" s="3744" t="s">
        <v>453</v>
      </c>
      <c r="Z4" s="3745"/>
      <c r="AA4" s="3731" t="s">
        <v>449</v>
      </c>
      <c r="AB4" s="3732" t="s">
        <v>450</v>
      </c>
      <c r="AC4" s="3731" t="s">
        <v>451</v>
      </c>
    </row>
    <row r="5" spans="1:29" ht="15">
      <c r="A5" s="747"/>
      <c r="B5" s="748"/>
      <c r="C5" s="3664" t="s">
        <v>1129</v>
      </c>
      <c r="D5" s="3665"/>
      <c r="E5" s="3671" t="s">
        <v>1130</v>
      </c>
      <c r="F5" s="3672"/>
      <c r="G5" s="3664" t="s">
        <v>60</v>
      </c>
      <c r="H5" s="3665"/>
      <c r="I5" s="3664" t="s">
        <v>1131</v>
      </c>
      <c r="J5" s="3665"/>
      <c r="K5" s="953"/>
      <c r="L5" s="2349"/>
      <c r="M5" s="2350"/>
      <c r="N5" s="2350"/>
      <c r="O5" s="2350"/>
      <c r="P5" s="3740"/>
      <c r="Q5" s="3741"/>
      <c r="R5" s="3746"/>
      <c r="S5" s="3747"/>
      <c r="T5" s="3746"/>
      <c r="U5" s="3747"/>
      <c r="V5" s="3750"/>
      <c r="W5" s="3750"/>
      <c r="X5" s="1318"/>
      <c r="Y5" s="3746"/>
      <c r="Z5" s="3747"/>
      <c r="AA5" s="3732"/>
      <c r="AB5" s="3732"/>
      <c r="AC5" s="3732"/>
    </row>
    <row r="6" spans="1:29" ht="15.75" thickBot="1">
      <c r="A6" s="749"/>
      <c r="B6" s="750"/>
      <c r="C6" s="3662" t="s">
        <v>1132</v>
      </c>
      <c r="D6" s="3663"/>
      <c r="E6" s="3669" t="s">
        <v>1132</v>
      </c>
      <c r="F6" s="3670"/>
      <c r="G6" s="3662" t="s">
        <v>1132</v>
      </c>
      <c r="H6" s="3663"/>
      <c r="I6" s="3662" t="s">
        <v>1132</v>
      </c>
      <c r="J6" s="3663"/>
      <c r="K6" s="953" t="s">
        <v>395</v>
      </c>
      <c r="L6" s="2349"/>
      <c r="M6" s="2350"/>
      <c r="N6" s="2350"/>
      <c r="O6" s="2350"/>
      <c r="P6" s="3742"/>
      <c r="Q6" s="3743"/>
      <c r="R6" s="3746"/>
      <c r="S6" s="3747"/>
      <c r="T6" s="3748"/>
      <c r="U6" s="3749"/>
      <c r="V6" s="3750"/>
      <c r="W6" s="3750"/>
      <c r="X6" s="1318"/>
      <c r="Y6" s="3748"/>
      <c r="Z6" s="3749"/>
      <c r="AA6" s="3733"/>
      <c r="AB6" s="3733"/>
      <c r="AC6" s="3733"/>
    </row>
    <row r="7" spans="1:29" s="407" customFormat="1" ht="15.75" thickBot="1">
      <c r="A7" s="751" t="s">
        <v>396</v>
      </c>
      <c r="B7" s="752"/>
      <c r="C7" s="753">
        <f>'数据-取费表'!B2</f>
        <v>42997</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755" t="s">
        <v>397</v>
      </c>
      <c r="Q7" s="3757"/>
      <c r="R7" s="1319" t="s">
        <v>63</v>
      </c>
      <c r="S7" s="1320">
        <f t="shared" ref="S7:S14" si="0">F7</f>
        <v>0</v>
      </c>
      <c r="T7" s="1319" t="s">
        <v>63</v>
      </c>
      <c r="U7" s="1320">
        <f t="shared" ref="U7:U14" si="1">H7</f>
        <v>0</v>
      </c>
      <c r="V7" s="1319" t="s">
        <v>63</v>
      </c>
      <c r="W7" s="1320">
        <f t="shared" ref="W7:W14" si="2">J7</f>
        <v>0</v>
      </c>
      <c r="X7" s="1321"/>
      <c r="Y7" s="3755" t="s">
        <v>397</v>
      </c>
      <c r="Z7" s="3756"/>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755" t="s">
        <v>433</v>
      </c>
      <c r="Q8" s="3756"/>
      <c r="R8" s="1319" t="s">
        <v>63</v>
      </c>
      <c r="S8" s="1320">
        <f t="shared" si="0"/>
        <v>0</v>
      </c>
      <c r="T8" s="1319" t="s">
        <v>63</v>
      </c>
      <c r="U8" s="1320">
        <f t="shared" si="1"/>
        <v>0</v>
      </c>
      <c r="V8" s="1319" t="s">
        <v>63</v>
      </c>
      <c r="W8" s="1320">
        <f t="shared" si="2"/>
        <v>0</v>
      </c>
      <c r="X8" s="1321"/>
      <c r="Y8" s="3755" t="s">
        <v>433</v>
      </c>
      <c r="Z8" s="3756"/>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722" t="s">
        <v>400</v>
      </c>
      <c r="Q9" s="296" t="str">
        <f t="shared" ref="Q9:Q14" si="6">B9</f>
        <v>用途</v>
      </c>
      <c r="R9" s="1319" t="s">
        <v>63</v>
      </c>
      <c r="S9" s="1320">
        <f t="shared" si="0"/>
        <v>100</v>
      </c>
      <c r="T9" s="1319" t="s">
        <v>63</v>
      </c>
      <c r="U9" s="1320">
        <f t="shared" si="1"/>
        <v>100</v>
      </c>
      <c r="V9" s="1319" t="s">
        <v>63</v>
      </c>
      <c r="W9" s="1320">
        <f t="shared" si="2"/>
        <v>100</v>
      </c>
      <c r="X9" s="1321"/>
      <c r="Y9" s="3522"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722"/>
      <c r="Q10" s="296" t="str">
        <f t="shared" si="6"/>
        <v>土地使用年限（年）</v>
      </c>
      <c r="R10" s="1319" t="s">
        <v>63</v>
      </c>
      <c r="S10" s="1320">
        <f t="shared" si="0"/>
        <v>100</v>
      </c>
      <c r="T10" s="1319" t="s">
        <v>63</v>
      </c>
      <c r="U10" s="1320">
        <f t="shared" si="1"/>
        <v>100</v>
      </c>
      <c r="V10" s="1319" t="s">
        <v>63</v>
      </c>
      <c r="W10" s="1320">
        <f t="shared" si="2"/>
        <v>100</v>
      </c>
      <c r="X10" s="1321"/>
      <c r="Y10" s="352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722"/>
      <c r="Q11" s="296">
        <f t="shared" si="6"/>
        <v>111</v>
      </c>
      <c r="R11" s="1319" t="s">
        <v>63</v>
      </c>
      <c r="S11" s="1320">
        <f t="shared" si="0"/>
        <v>100</v>
      </c>
      <c r="T11" s="1319" t="s">
        <v>63</v>
      </c>
      <c r="U11" s="1320">
        <f t="shared" si="1"/>
        <v>100</v>
      </c>
      <c r="V11" s="1319" t="s">
        <v>63</v>
      </c>
      <c r="W11" s="1320">
        <f t="shared" si="2"/>
        <v>100</v>
      </c>
      <c r="X11" s="1321"/>
      <c r="Y11" s="352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722"/>
      <c r="Q12" s="296">
        <f t="shared" si="6"/>
        <v>111</v>
      </c>
      <c r="R12" s="1319" t="s">
        <v>63</v>
      </c>
      <c r="S12" s="1320">
        <f t="shared" si="0"/>
        <v>100</v>
      </c>
      <c r="T12" s="1319" t="s">
        <v>63</v>
      </c>
      <c r="U12" s="1320">
        <f t="shared" si="1"/>
        <v>100</v>
      </c>
      <c r="V12" s="1319" t="s">
        <v>63</v>
      </c>
      <c r="W12" s="1320">
        <f t="shared" si="2"/>
        <v>100</v>
      </c>
      <c r="X12" s="1321"/>
      <c r="Y12" s="352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722"/>
      <c r="Q13" s="296">
        <f t="shared" si="6"/>
        <v>111</v>
      </c>
      <c r="R13" s="1319" t="s">
        <v>63</v>
      </c>
      <c r="S13" s="1320">
        <f t="shared" si="0"/>
        <v>100</v>
      </c>
      <c r="T13" s="1319" t="s">
        <v>63</v>
      </c>
      <c r="U13" s="1320">
        <f t="shared" si="1"/>
        <v>100</v>
      </c>
      <c r="V13" s="1319" t="s">
        <v>63</v>
      </c>
      <c r="W13" s="1320">
        <f t="shared" si="2"/>
        <v>100</v>
      </c>
      <c r="X13" s="1321"/>
      <c r="Y13" s="3522"/>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727" t="s">
        <v>405</v>
      </c>
      <c r="Q14" s="1323" t="str">
        <f t="shared" si="6"/>
        <v>交通便捷度</v>
      </c>
      <c r="R14" s="1324" t="s">
        <v>63</v>
      </c>
      <c r="S14" s="1325">
        <f t="shared" si="0"/>
        <v>100</v>
      </c>
      <c r="T14" s="1324" t="s">
        <v>63</v>
      </c>
      <c r="U14" s="1325">
        <f t="shared" si="1"/>
        <v>100</v>
      </c>
      <c r="V14" s="1324" t="s">
        <v>63</v>
      </c>
      <c r="W14" s="1325">
        <f t="shared" si="2"/>
        <v>100</v>
      </c>
      <c r="X14" s="1318"/>
      <c r="Y14" s="3727"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728"/>
      <c r="Q15" s="1323"/>
      <c r="R15" s="1324"/>
      <c r="S15" s="1325"/>
      <c r="T15" s="1324"/>
      <c r="U15" s="1325"/>
      <c r="V15" s="1324"/>
      <c r="W15" s="1325"/>
      <c r="X15" s="1318"/>
      <c r="Y15" s="3728"/>
      <c r="Z15" s="1326"/>
      <c r="AA15" s="1327">
        <v>1</v>
      </c>
      <c r="AB15" s="1327">
        <v>1</v>
      </c>
      <c r="AC15" s="1327">
        <v>1</v>
      </c>
    </row>
    <row r="16" spans="1:29" ht="40.5">
      <c r="A16" s="771"/>
      <c r="B16" s="1356" t="s">
        <v>2664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728"/>
      <c r="Q16" s="1323" t="str">
        <f>B16</f>
        <v>公共配套设施</v>
      </c>
      <c r="R16" s="1324" t="s">
        <v>63</v>
      </c>
      <c r="S16" s="1325">
        <f>F16</f>
        <v>100</v>
      </c>
      <c r="T16" s="1324" t="s">
        <v>63</v>
      </c>
      <c r="U16" s="1325">
        <f>H16</f>
        <v>100</v>
      </c>
      <c r="V16" s="1324" t="s">
        <v>63</v>
      </c>
      <c r="W16" s="1325">
        <f>J16</f>
        <v>100</v>
      </c>
      <c r="X16" s="1318"/>
      <c r="Y16" s="372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728"/>
      <c r="Q17" s="1323"/>
      <c r="R17" s="1324"/>
      <c r="S17" s="1325"/>
      <c r="T17" s="1324"/>
      <c r="U17" s="1325"/>
      <c r="V17" s="1324"/>
      <c r="W17" s="1325"/>
      <c r="X17" s="1318"/>
      <c r="Y17" s="3728"/>
      <c r="Z17" s="1326"/>
      <c r="AA17" s="1327">
        <v>1</v>
      </c>
      <c r="AB17" s="1327">
        <v>1</v>
      </c>
      <c r="AC17" s="1327">
        <v>1</v>
      </c>
    </row>
    <row r="18" spans="1:29" ht="40.5">
      <c r="A18" s="771"/>
      <c r="B18" s="1412" t="s">
        <v>2666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728"/>
      <c r="Q18" s="2750" t="str">
        <f>B18</f>
        <v>基础设施水平</v>
      </c>
      <c r="R18" s="1324" t="s">
        <v>63</v>
      </c>
      <c r="S18" s="1325">
        <f>F18</f>
        <v>100</v>
      </c>
      <c r="T18" s="1324" t="s">
        <v>63</v>
      </c>
      <c r="U18" s="1325">
        <f>H18</f>
        <v>100</v>
      </c>
      <c r="V18" s="1324" t="s">
        <v>63</v>
      </c>
      <c r="W18" s="1325">
        <f>J18</f>
        <v>100</v>
      </c>
      <c r="X18" s="2752"/>
      <c r="Y18" s="3728"/>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728"/>
      <c r="Q19" s="2750"/>
      <c r="R19" s="1324"/>
      <c r="S19" s="1325"/>
      <c r="T19" s="1324"/>
      <c r="U19" s="1325"/>
      <c r="V19" s="1324"/>
      <c r="W19" s="1325"/>
      <c r="X19" s="2752"/>
      <c r="Y19" s="3728"/>
      <c r="Z19" s="2751"/>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728"/>
      <c r="Q20" s="1323" t="str">
        <f>B20</f>
        <v>自然及人文环境</v>
      </c>
      <c r="R20" s="1324" t="s">
        <v>63</v>
      </c>
      <c r="S20" s="1325">
        <f>F20</f>
        <v>100</v>
      </c>
      <c r="T20" s="1324" t="s">
        <v>63</v>
      </c>
      <c r="U20" s="1325">
        <f>H20</f>
        <v>100</v>
      </c>
      <c r="V20" s="1324" t="s">
        <v>63</v>
      </c>
      <c r="W20" s="1325">
        <f>J20</f>
        <v>100</v>
      </c>
      <c r="X20" s="1318"/>
      <c r="Y20" s="372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728"/>
      <c r="Q21" s="1323"/>
      <c r="R21" s="1324"/>
      <c r="S21" s="1325"/>
      <c r="T21" s="1324"/>
      <c r="U21" s="1325"/>
      <c r="V21" s="1324"/>
      <c r="W21" s="1325"/>
      <c r="X21" s="1318"/>
      <c r="Y21" s="3728"/>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728"/>
      <c r="Q22" s="1323" t="str">
        <f>B22</f>
        <v>楼层</v>
      </c>
      <c r="R22" s="1324" t="s">
        <v>63</v>
      </c>
      <c r="S22" s="1325">
        <f>F22</f>
        <v>100</v>
      </c>
      <c r="T22" s="1324" t="s">
        <v>63</v>
      </c>
      <c r="U22" s="1325">
        <f>H22</f>
        <v>100</v>
      </c>
      <c r="V22" s="1324" t="s">
        <v>63</v>
      </c>
      <c r="W22" s="1325">
        <f>J22</f>
        <v>100</v>
      </c>
      <c r="X22" s="1318"/>
      <c r="Y22" s="372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728"/>
      <c r="Q23" s="1323">
        <f>B23</f>
        <v>111</v>
      </c>
      <c r="R23" s="1324" t="s">
        <v>63</v>
      </c>
      <c r="S23" s="1325">
        <f>F23</f>
        <v>100</v>
      </c>
      <c r="T23" s="1324" t="s">
        <v>63</v>
      </c>
      <c r="U23" s="1325">
        <f>H23</f>
        <v>100</v>
      </c>
      <c r="V23" s="1324" t="s">
        <v>63</v>
      </c>
      <c r="W23" s="1325">
        <f>J23</f>
        <v>100</v>
      </c>
      <c r="X23" s="1318"/>
      <c r="Y23" s="372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728"/>
      <c r="Q24" s="1323">
        <f t="shared" ref="Q24:Q34" si="11">B24</f>
        <v>111</v>
      </c>
      <c r="R24" s="1324" t="s">
        <v>63</v>
      </c>
      <c r="S24" s="1325">
        <f>F24</f>
        <v>100</v>
      </c>
      <c r="T24" s="1324" t="s">
        <v>63</v>
      </c>
      <c r="U24" s="1325">
        <f>H24</f>
        <v>100</v>
      </c>
      <c r="V24" s="1324" t="s">
        <v>63</v>
      </c>
      <c r="W24" s="1325">
        <f>J24</f>
        <v>100</v>
      </c>
      <c r="X24" s="1318"/>
      <c r="Y24" s="372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728"/>
      <c r="Q25" s="296">
        <f t="shared" si="11"/>
        <v>111</v>
      </c>
      <c r="R25" s="1319" t="s">
        <v>63</v>
      </c>
      <c r="S25" s="1320">
        <f>F25</f>
        <v>100</v>
      </c>
      <c r="T25" s="1319" t="s">
        <v>63</v>
      </c>
      <c r="U25" s="1320">
        <f>H25</f>
        <v>100</v>
      </c>
      <c r="V25" s="1319" t="s">
        <v>63</v>
      </c>
      <c r="W25" s="1320">
        <f>J25</f>
        <v>100</v>
      </c>
      <c r="X25" s="1321"/>
      <c r="Y25" s="3728"/>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729" t="s">
        <v>472</v>
      </c>
      <c r="Q26" s="1323" t="str">
        <f t="shared" si="11"/>
        <v>公共部分装修</v>
      </c>
      <c r="R26" s="1324" t="s">
        <v>63</v>
      </c>
      <c r="S26" s="1325">
        <f t="shared" ref="S26:S34" si="12">F26</f>
        <v>100</v>
      </c>
      <c r="T26" s="1324" t="s">
        <v>63</v>
      </c>
      <c r="U26" s="1325">
        <f t="shared" ref="U26:U34" si="13">H26</f>
        <v>100</v>
      </c>
      <c r="V26" s="1324" t="s">
        <v>63</v>
      </c>
      <c r="W26" s="1325">
        <f t="shared" ref="W26:W34" si="14">J26</f>
        <v>100</v>
      </c>
      <c r="X26" s="1318"/>
      <c r="Y26" s="3730"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730"/>
      <c r="Q27" s="1328" t="str">
        <f t="shared" si="11"/>
        <v>成新率</v>
      </c>
      <c r="R27" s="1329" t="s">
        <v>63</v>
      </c>
      <c r="S27" s="1330" t="e">
        <f t="shared" si="12"/>
        <v>#N/A</v>
      </c>
      <c r="T27" s="1329" t="s">
        <v>63</v>
      </c>
      <c r="U27" s="1330" t="e">
        <f t="shared" si="13"/>
        <v>#N/A</v>
      </c>
      <c r="V27" s="1329" t="s">
        <v>63</v>
      </c>
      <c r="W27" s="1330" t="e">
        <f t="shared" si="14"/>
        <v>#N/A</v>
      </c>
      <c r="X27" s="1331"/>
      <c r="Y27" s="3730"/>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730"/>
      <c r="Q28" s="1323" t="str">
        <f t="shared" si="11"/>
        <v>物业等级</v>
      </c>
      <c r="R28" s="1324" t="s">
        <v>63</v>
      </c>
      <c r="S28" s="1325">
        <f t="shared" si="12"/>
        <v>100</v>
      </c>
      <c r="T28" s="1324" t="s">
        <v>63</v>
      </c>
      <c r="U28" s="1325">
        <f t="shared" si="13"/>
        <v>100</v>
      </c>
      <c r="V28" s="1324" t="s">
        <v>63</v>
      </c>
      <c r="W28" s="1325">
        <f t="shared" si="14"/>
        <v>100</v>
      </c>
      <c r="X28" s="1318"/>
      <c r="Y28" s="3730"/>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730"/>
      <c r="Q29" s="1323" t="str">
        <f t="shared" si="11"/>
        <v>有无电梯</v>
      </c>
      <c r="R29" s="1324" t="s">
        <v>63</v>
      </c>
      <c r="S29" s="1325">
        <f t="shared" si="12"/>
        <v>100</v>
      </c>
      <c r="T29" s="1324" t="s">
        <v>63</v>
      </c>
      <c r="U29" s="1325">
        <f t="shared" si="13"/>
        <v>100</v>
      </c>
      <c r="V29" s="1324" t="s">
        <v>63</v>
      </c>
      <c r="W29" s="1325">
        <f t="shared" si="14"/>
        <v>100</v>
      </c>
      <c r="X29" s="1318"/>
      <c r="Y29" s="3730"/>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730"/>
      <c r="Q30" s="1323" t="str">
        <f t="shared" si="11"/>
        <v>建筑面积</v>
      </c>
      <c r="R30" s="1324" t="s">
        <v>63</v>
      </c>
      <c r="S30" s="1325" t="e">
        <f t="shared" si="12"/>
        <v>#N/A</v>
      </c>
      <c r="T30" s="1324" t="s">
        <v>63</v>
      </c>
      <c r="U30" s="1325" t="e">
        <f t="shared" si="13"/>
        <v>#N/A</v>
      </c>
      <c r="V30" s="1324" t="s">
        <v>63</v>
      </c>
      <c r="W30" s="1325" t="e">
        <f t="shared" si="14"/>
        <v>#N/A</v>
      </c>
      <c r="X30" s="1318"/>
      <c r="Y30" s="3730"/>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730"/>
      <c r="Q31" s="296" t="str">
        <f t="shared" si="11"/>
        <v>是否封闭</v>
      </c>
      <c r="R31" s="1319" t="s">
        <v>63</v>
      </c>
      <c r="S31" s="1320">
        <f t="shared" si="12"/>
        <v>100</v>
      </c>
      <c r="T31" s="1319" t="s">
        <v>63</v>
      </c>
      <c r="U31" s="1320">
        <f t="shared" si="13"/>
        <v>100</v>
      </c>
      <c r="V31" s="1319" t="s">
        <v>63</v>
      </c>
      <c r="W31" s="1320">
        <f t="shared" si="14"/>
        <v>100</v>
      </c>
      <c r="X31" s="1321"/>
      <c r="Y31" s="373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730" t="s">
        <v>407</v>
      </c>
      <c r="Q32" s="1323">
        <f t="shared" si="11"/>
        <v>111</v>
      </c>
      <c r="R32" s="1324" t="s">
        <v>63</v>
      </c>
      <c r="S32" s="1325">
        <f t="shared" si="12"/>
        <v>100</v>
      </c>
      <c r="T32" s="1324" t="s">
        <v>63</v>
      </c>
      <c r="U32" s="1325">
        <f t="shared" si="13"/>
        <v>100</v>
      </c>
      <c r="V32" s="1324" t="s">
        <v>63</v>
      </c>
      <c r="W32" s="1325">
        <f t="shared" si="14"/>
        <v>100</v>
      </c>
      <c r="X32" s="1318"/>
      <c r="Y32" s="3730"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730"/>
      <c r="Q33" s="1323">
        <f t="shared" si="11"/>
        <v>111</v>
      </c>
      <c r="R33" s="1324" t="s">
        <v>63</v>
      </c>
      <c r="S33" s="1325">
        <f t="shared" si="12"/>
        <v>100</v>
      </c>
      <c r="T33" s="1324" t="s">
        <v>63</v>
      </c>
      <c r="U33" s="1325">
        <f t="shared" si="13"/>
        <v>100</v>
      </c>
      <c r="V33" s="1324" t="s">
        <v>63</v>
      </c>
      <c r="W33" s="1325">
        <f t="shared" si="14"/>
        <v>100</v>
      </c>
      <c r="X33" s="1318"/>
      <c r="Y33" s="373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730"/>
      <c r="Q34" s="1323">
        <f t="shared" si="11"/>
        <v>111</v>
      </c>
      <c r="R34" s="1324" t="s">
        <v>63</v>
      </c>
      <c r="S34" s="1325">
        <f t="shared" si="12"/>
        <v>100</v>
      </c>
      <c r="T34" s="1324" t="s">
        <v>63</v>
      </c>
      <c r="U34" s="1325">
        <f t="shared" si="13"/>
        <v>100</v>
      </c>
      <c r="V34" s="1324" t="s">
        <v>63</v>
      </c>
      <c r="W34" s="1325">
        <f t="shared" si="14"/>
        <v>100</v>
      </c>
      <c r="X34" s="1318"/>
      <c r="Y34" s="3730"/>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62"/>
      <c r="M35" s="2363"/>
      <c r="N35" s="2350"/>
      <c r="O35" s="2363"/>
      <c r="P35" s="3722" t="str">
        <f>A35</f>
        <v>成交单价（元/平方米）</v>
      </c>
      <c r="Q35" s="3722"/>
      <c r="R35" s="3723">
        <f>E35</f>
        <v>0</v>
      </c>
      <c r="S35" s="3723"/>
      <c r="T35" s="3723">
        <f>G35</f>
        <v>0</v>
      </c>
      <c r="U35" s="3723"/>
      <c r="V35" s="3723">
        <f>I35</f>
        <v>0</v>
      </c>
      <c r="W35" s="3723"/>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62"/>
      <c r="M36" s="2363"/>
      <c r="N36" s="2350"/>
      <c r="O36" s="2363"/>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1307"/>
      <c r="Y36" s="1307"/>
      <c r="Z36" s="1307"/>
      <c r="AA36" s="1307"/>
      <c r="AB36" s="1307"/>
      <c r="AC36" s="1307"/>
    </row>
    <row r="37" spans="1:29" ht="15.75" thickBot="1">
      <c r="A37" s="115" t="s">
        <v>3014</v>
      </c>
      <c r="B37" s="836"/>
      <c r="C37" s="2844" t="e">
        <f>R37</f>
        <v>#DIV/0!</v>
      </c>
      <c r="D37" s="2844"/>
      <c r="E37" s="2844"/>
      <c r="F37" s="2844"/>
      <c r="G37" s="2844"/>
      <c r="H37" s="2844"/>
      <c r="I37" s="2844"/>
      <c r="J37" s="2844"/>
      <c r="K37" s="1402"/>
      <c r="L37" s="2362"/>
      <c r="M37" s="2363"/>
      <c r="N37" s="2363"/>
      <c r="O37" s="2363"/>
      <c r="P37" s="3724" t="str">
        <f>A37</f>
        <v>估价对象XX用房的比较价值（楼面单价，元/平方米）</v>
      </c>
      <c r="Q37" s="3725"/>
      <c r="R37" s="3726" t="e">
        <f>IF(F1="售价",ROUND(AVERAGE(R36:V36),0),ROUND(AVERAGE(R36:V36),1))</f>
        <v>#DIV/0!</v>
      </c>
      <c r="S37" s="3726"/>
      <c r="T37" s="3726"/>
      <c r="U37" s="3726"/>
      <c r="V37" s="3726"/>
      <c r="W37" s="372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136</v>
      </c>
      <c r="D54" s="887" t="s">
        <v>137</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27" sqref="C127:F13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2884</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734" t="s">
        <v>389</v>
      </c>
      <c r="D4" s="3735"/>
      <c r="E4" s="3736" t="s">
        <v>390</v>
      </c>
      <c r="F4" s="3737"/>
      <c r="G4" s="3734" t="s">
        <v>391</v>
      </c>
      <c r="H4" s="3735"/>
      <c r="I4" s="3734" t="s">
        <v>392</v>
      </c>
      <c r="J4" s="3735"/>
      <c r="K4" s="953" t="s">
        <v>393</v>
      </c>
      <c r="L4" s="2349"/>
      <c r="M4" s="2350"/>
      <c r="N4" s="2350"/>
      <c r="O4" s="2350"/>
      <c r="P4" s="3738" t="s">
        <v>394</v>
      </c>
      <c r="Q4" s="3739"/>
      <c r="R4" s="3744" t="s">
        <v>390</v>
      </c>
      <c r="S4" s="3745"/>
      <c r="T4" s="3744" t="s">
        <v>391</v>
      </c>
      <c r="U4" s="3745"/>
      <c r="V4" s="3750" t="s">
        <v>392</v>
      </c>
      <c r="W4" s="3750"/>
      <c r="X4" s="1318"/>
      <c r="Y4" s="3744" t="s">
        <v>394</v>
      </c>
      <c r="Z4" s="3745"/>
      <c r="AA4" s="3731" t="s">
        <v>390</v>
      </c>
      <c r="AB4" s="3732" t="s">
        <v>391</v>
      </c>
      <c r="AC4" s="3731" t="s">
        <v>392</v>
      </c>
    </row>
    <row r="5" spans="1:30" ht="15">
      <c r="A5" s="747"/>
      <c r="B5" s="748"/>
      <c r="C5" s="3664" t="s">
        <v>1129</v>
      </c>
      <c r="D5" s="3665"/>
      <c r="E5" s="3671" t="s">
        <v>1130</v>
      </c>
      <c r="F5" s="3672"/>
      <c r="G5" s="3664" t="s">
        <v>1133</v>
      </c>
      <c r="H5" s="3665"/>
      <c r="I5" s="3664" t="s">
        <v>1131</v>
      </c>
      <c r="J5" s="3665"/>
      <c r="K5" s="953"/>
      <c r="L5" s="2349"/>
      <c r="M5" s="2350"/>
      <c r="N5" s="2350"/>
      <c r="O5" s="2350"/>
      <c r="P5" s="3740"/>
      <c r="Q5" s="3741"/>
      <c r="R5" s="3746"/>
      <c r="S5" s="3747"/>
      <c r="T5" s="3746"/>
      <c r="U5" s="3747"/>
      <c r="V5" s="3750"/>
      <c r="W5" s="3750"/>
      <c r="X5" s="1318"/>
      <c r="Y5" s="3746"/>
      <c r="Z5" s="3747"/>
      <c r="AA5" s="3732"/>
      <c r="AB5" s="3732"/>
      <c r="AC5" s="3732"/>
    </row>
    <row r="6" spans="1:30" ht="15.75" thickBot="1">
      <c r="A6" s="749"/>
      <c r="B6" s="750"/>
      <c r="C6" s="3662" t="s">
        <v>1132</v>
      </c>
      <c r="D6" s="3663"/>
      <c r="E6" s="3669" t="s">
        <v>1132</v>
      </c>
      <c r="F6" s="3670"/>
      <c r="G6" s="3662" t="s">
        <v>1132</v>
      </c>
      <c r="H6" s="3663"/>
      <c r="I6" s="3662" t="s">
        <v>1132</v>
      </c>
      <c r="J6" s="3663"/>
      <c r="K6" s="953" t="s">
        <v>395</v>
      </c>
      <c r="L6" s="2349"/>
      <c r="M6" s="2350"/>
      <c r="N6" s="2350"/>
      <c r="O6" s="2350"/>
      <c r="P6" s="3742"/>
      <c r="Q6" s="3743"/>
      <c r="R6" s="3746"/>
      <c r="S6" s="3747"/>
      <c r="T6" s="3748"/>
      <c r="U6" s="3749"/>
      <c r="V6" s="3750"/>
      <c r="W6" s="3750"/>
      <c r="X6" s="1318"/>
      <c r="Y6" s="3748"/>
      <c r="Z6" s="3749"/>
      <c r="AA6" s="3733"/>
      <c r="AB6" s="3733"/>
      <c r="AC6" s="3733"/>
    </row>
    <row r="7" spans="1:30" s="407" customFormat="1" ht="15.75" thickBot="1">
      <c r="A7" s="751" t="s">
        <v>396</v>
      </c>
      <c r="B7" s="752"/>
      <c r="C7" s="753">
        <f>'数据-取费表'!B2</f>
        <v>42997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755" t="s">
        <v>397</v>
      </c>
      <c r="Q7" s="3757"/>
      <c r="R7" s="1319" t="s">
        <v>63</v>
      </c>
      <c r="S7" s="1320">
        <f t="shared" ref="S7:S15" si="0">F7</f>
        <v>0</v>
      </c>
      <c r="T7" s="1319" t="s">
        <v>63</v>
      </c>
      <c r="U7" s="1320">
        <f t="shared" ref="U7:U15" si="1">H7</f>
        <v>0</v>
      </c>
      <c r="V7" s="1319" t="s">
        <v>63</v>
      </c>
      <c r="W7" s="1320">
        <f t="shared" ref="W7:W15" si="2">J7</f>
        <v>0</v>
      </c>
      <c r="X7" s="1321"/>
      <c r="Y7" s="3755" t="s">
        <v>397</v>
      </c>
      <c r="Z7" s="3756"/>
      <c r="AA7" s="1322" t="e">
        <f>D7/F7</f>
        <v>#DIV/0!</v>
      </c>
      <c r="AB7" s="1322" t="e">
        <f>D7/H7</f>
        <v>#DIV/0!</v>
      </c>
      <c r="AC7" s="1322" t="e">
        <f>D7/J7</f>
        <v>#DIV/0!</v>
      </c>
    </row>
    <row r="8" spans="1:30" s="407" customFormat="1" ht="15.75" thickBot="1">
      <c r="A8" s="751" t="s">
        <v>398</v>
      </c>
      <c r="B8" s="752"/>
      <c r="C8" s="1020" t="s">
        <v>153</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755" t="s">
        <v>433</v>
      </c>
      <c r="Q8" s="3756"/>
      <c r="R8" s="1319" t="s">
        <v>63</v>
      </c>
      <c r="S8" s="1320">
        <f t="shared" si="0"/>
        <v>0</v>
      </c>
      <c r="T8" s="1319" t="s">
        <v>63</v>
      </c>
      <c r="U8" s="1320">
        <f t="shared" si="1"/>
        <v>0</v>
      </c>
      <c r="V8" s="1319" t="s">
        <v>63</v>
      </c>
      <c r="W8" s="1320">
        <f t="shared" si="2"/>
        <v>0</v>
      </c>
      <c r="X8" s="1321"/>
      <c r="Y8" s="3755" t="s">
        <v>433</v>
      </c>
      <c r="Z8" s="3756"/>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722" t="s">
        <v>400</v>
      </c>
      <c r="Q9" s="296" t="str">
        <f t="shared" ref="Q9:Q15" si="6">B9</f>
        <v>用途</v>
      </c>
      <c r="R9" s="1319" t="s">
        <v>63</v>
      </c>
      <c r="S9" s="1320">
        <f t="shared" si="0"/>
        <v>100</v>
      </c>
      <c r="T9" s="1319" t="s">
        <v>63</v>
      </c>
      <c r="U9" s="1320">
        <f t="shared" si="1"/>
        <v>100</v>
      </c>
      <c r="V9" s="1319" t="s">
        <v>63</v>
      </c>
      <c r="W9" s="1320">
        <f t="shared" si="2"/>
        <v>100</v>
      </c>
      <c r="X9" s="1321"/>
      <c r="Y9" s="3522"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127</v>
      </c>
      <c r="G10" s="806"/>
      <c r="H10" s="426">
        <f>ROUND(100/'数据-取费表'!G16,0)</f>
        <v>127</v>
      </c>
      <c r="I10" s="806"/>
      <c r="J10" s="426">
        <f>ROUND(100/'数据-取费表'!G16,0)</f>
        <v>127</v>
      </c>
      <c r="K10" s="1081"/>
      <c r="L10" s="2354"/>
      <c r="M10" s="2355"/>
      <c r="N10" s="2355"/>
      <c r="O10" s="2356"/>
      <c r="P10" s="3722"/>
      <c r="Q10" s="296" t="str">
        <f t="shared" si="6"/>
        <v>土地使用年限（年）</v>
      </c>
      <c r="R10" s="1319" t="s">
        <v>63</v>
      </c>
      <c r="S10" s="1320">
        <f t="shared" si="0"/>
        <v>127</v>
      </c>
      <c r="T10" s="1319" t="s">
        <v>63</v>
      </c>
      <c r="U10" s="1320">
        <f t="shared" si="1"/>
        <v>127</v>
      </c>
      <c r="V10" s="1319" t="s">
        <v>63</v>
      </c>
      <c r="W10" s="1320">
        <f t="shared" si="2"/>
        <v>127</v>
      </c>
      <c r="X10" s="1321"/>
      <c r="Y10" s="3522"/>
      <c r="Z10" s="344" t="str">
        <f t="shared" si="7"/>
        <v>土地使用年限（年）</v>
      </c>
      <c r="AA10" s="1322">
        <f t="shared" si="3"/>
        <v>0.78740157480314965</v>
      </c>
      <c r="AB10" s="1322">
        <f t="shared" si="4"/>
        <v>0.78740157480314965</v>
      </c>
      <c r="AC10" s="1322">
        <f t="shared" si="5"/>
        <v>0.78740157480314965</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722"/>
      <c r="Q11" s="296" t="str">
        <f t="shared" si="6"/>
        <v>容积率</v>
      </c>
      <c r="R11" s="1319" t="s">
        <v>63</v>
      </c>
      <c r="S11" s="1320" t="e">
        <f t="shared" si="0"/>
        <v>#N/A</v>
      </c>
      <c r="T11" s="1319" t="s">
        <v>63</v>
      </c>
      <c r="U11" s="1320" t="e">
        <f t="shared" si="1"/>
        <v>#N/A</v>
      </c>
      <c r="V11" s="1319" t="s">
        <v>63</v>
      </c>
      <c r="W11" s="1320" t="e">
        <f t="shared" si="2"/>
        <v>#N/A</v>
      </c>
      <c r="X11" s="1321"/>
      <c r="Y11" s="3522"/>
      <c r="Z11" s="344" t="str">
        <f t="shared" si="7"/>
        <v>容积率</v>
      </c>
      <c r="AA11" s="1322" t="e">
        <f t="shared" si="3"/>
        <v>#N/A</v>
      </c>
      <c r="AB11" s="1322" t="e">
        <f t="shared" si="4"/>
        <v>#N/A</v>
      </c>
      <c r="AC11" s="1322" t="e">
        <f t="shared" si="5"/>
        <v>#N/A</v>
      </c>
    </row>
    <row r="12" spans="1:30" s="407" customFormat="1" ht="15">
      <c r="A12" s="774"/>
      <c r="B12" s="1031" t="s">
        <v>158</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722"/>
      <c r="Q12" s="296" t="str">
        <f t="shared" si="6"/>
        <v>配建</v>
      </c>
      <c r="R12" s="1319" t="s">
        <v>63</v>
      </c>
      <c r="S12" s="1320">
        <f t="shared" si="0"/>
        <v>100</v>
      </c>
      <c r="T12" s="1319" t="s">
        <v>63</v>
      </c>
      <c r="U12" s="1320">
        <f t="shared" si="1"/>
        <v>100</v>
      </c>
      <c r="V12" s="1319" t="s">
        <v>63</v>
      </c>
      <c r="W12" s="1320">
        <f t="shared" si="2"/>
        <v>100</v>
      </c>
      <c r="X12" s="1321"/>
      <c r="Y12" s="352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722"/>
      <c r="Q13" s="296">
        <f t="shared" si="6"/>
        <v>111</v>
      </c>
      <c r="R13" s="1319" t="s">
        <v>63</v>
      </c>
      <c r="S13" s="1320">
        <f t="shared" si="0"/>
        <v>100</v>
      </c>
      <c r="T13" s="1319" t="s">
        <v>63</v>
      </c>
      <c r="U13" s="1320">
        <f t="shared" si="1"/>
        <v>100</v>
      </c>
      <c r="V13" s="1319" t="s">
        <v>63</v>
      </c>
      <c r="W13" s="1320">
        <f t="shared" si="2"/>
        <v>100</v>
      </c>
      <c r="X13" s="1321"/>
      <c r="Y13" s="352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722"/>
      <c r="Q14" s="296">
        <f t="shared" si="6"/>
        <v>111</v>
      </c>
      <c r="R14" s="1319" t="s">
        <v>63</v>
      </c>
      <c r="S14" s="1320">
        <f t="shared" si="0"/>
        <v>100</v>
      </c>
      <c r="T14" s="1319" t="s">
        <v>63</v>
      </c>
      <c r="U14" s="1320">
        <f t="shared" si="1"/>
        <v>100</v>
      </c>
      <c r="V14" s="1319" t="s">
        <v>63</v>
      </c>
      <c r="W14" s="1320">
        <f t="shared" si="2"/>
        <v>100</v>
      </c>
      <c r="X14" s="1321"/>
      <c r="Y14" s="3522"/>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727" t="s">
        <v>405</v>
      </c>
      <c r="Q15" s="1323" t="str">
        <f t="shared" si="6"/>
        <v>居住社区成熟度</v>
      </c>
      <c r="R15" s="1324" t="s">
        <v>63</v>
      </c>
      <c r="S15" s="1325">
        <f t="shared" si="0"/>
        <v>100</v>
      </c>
      <c r="T15" s="1324" t="s">
        <v>63</v>
      </c>
      <c r="U15" s="1325">
        <f t="shared" si="1"/>
        <v>100</v>
      </c>
      <c r="V15" s="1324" t="s">
        <v>63</v>
      </c>
      <c r="W15" s="1325">
        <f t="shared" si="2"/>
        <v>100</v>
      </c>
      <c r="X15" s="1318"/>
      <c r="Y15" s="3727"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728"/>
      <c r="Q16" s="1323"/>
      <c r="R16" s="1324"/>
      <c r="S16" s="1325"/>
      <c r="T16" s="1324"/>
      <c r="U16" s="1325"/>
      <c r="V16" s="1324"/>
      <c r="W16" s="1325"/>
      <c r="X16" s="1318"/>
      <c r="Y16" s="3728"/>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728"/>
      <c r="Q17" s="1323" t="str">
        <f>B17</f>
        <v>商业繁华度</v>
      </c>
      <c r="R17" s="1324" t="s">
        <v>63</v>
      </c>
      <c r="S17" s="1325">
        <f>F17</f>
        <v>100</v>
      </c>
      <c r="T17" s="1324" t="s">
        <v>63</v>
      </c>
      <c r="U17" s="1325">
        <f>H17</f>
        <v>100</v>
      </c>
      <c r="V17" s="1324" t="s">
        <v>63</v>
      </c>
      <c r="W17" s="1325">
        <f>J17</f>
        <v>100</v>
      </c>
      <c r="X17" s="1318"/>
      <c r="Y17" s="372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728"/>
      <c r="Q18" s="1323"/>
      <c r="R18" s="1324"/>
      <c r="S18" s="1325"/>
      <c r="T18" s="1324"/>
      <c r="U18" s="1325"/>
      <c r="V18" s="1324"/>
      <c r="W18" s="1325"/>
      <c r="X18" s="1318"/>
      <c r="Y18" s="3728"/>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728"/>
      <c r="Q19" s="1323" t="str">
        <f>B19</f>
        <v>办公集聚程度</v>
      </c>
      <c r="R19" s="1324" t="s">
        <v>63</v>
      </c>
      <c r="S19" s="1325">
        <f>F19</f>
        <v>100</v>
      </c>
      <c r="T19" s="1324" t="s">
        <v>63</v>
      </c>
      <c r="U19" s="1325">
        <f>H19</f>
        <v>100</v>
      </c>
      <c r="V19" s="1324" t="s">
        <v>63</v>
      </c>
      <c r="W19" s="1325">
        <f>J19</f>
        <v>100</v>
      </c>
      <c r="X19" s="1318"/>
      <c r="Y19" s="372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728"/>
      <c r="Q20" s="1323"/>
      <c r="R20" s="1324"/>
      <c r="S20" s="1325"/>
      <c r="T20" s="1324"/>
      <c r="U20" s="1325"/>
      <c r="V20" s="1324"/>
      <c r="W20" s="1325"/>
      <c r="X20" s="1318"/>
      <c r="Y20" s="3728"/>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728"/>
      <c r="Q21" s="1323" t="str">
        <f>B21</f>
        <v>交通便捷度</v>
      </c>
      <c r="R21" s="1324" t="s">
        <v>63</v>
      </c>
      <c r="S21" s="1325">
        <f>F21</f>
        <v>100</v>
      </c>
      <c r="T21" s="1324" t="s">
        <v>63</v>
      </c>
      <c r="U21" s="1325">
        <f>H21</f>
        <v>100</v>
      </c>
      <c r="V21" s="1324" t="s">
        <v>63</v>
      </c>
      <c r="W21" s="1325">
        <f>J21</f>
        <v>100</v>
      </c>
      <c r="X21" s="1318"/>
      <c r="Y21" s="3728"/>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728"/>
      <c r="Q22" s="1323"/>
      <c r="R22" s="1324"/>
      <c r="S22" s="1325"/>
      <c r="T22" s="1324"/>
      <c r="U22" s="1325"/>
      <c r="V22" s="1324"/>
      <c r="W22" s="1325"/>
      <c r="X22" s="1318"/>
      <c r="Y22" s="3728"/>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728"/>
      <c r="Q23" s="1323" t="str">
        <f t="shared" ref="Q23:Q37" si="8">B23</f>
        <v>区域土地利用方向</v>
      </c>
      <c r="R23" s="1324" t="s">
        <v>63</v>
      </c>
      <c r="S23" s="1325">
        <f>F23</f>
        <v>100</v>
      </c>
      <c r="T23" s="1324" t="s">
        <v>63</v>
      </c>
      <c r="U23" s="1325">
        <f>H23</f>
        <v>100</v>
      </c>
      <c r="V23" s="1324" t="s">
        <v>63</v>
      </c>
      <c r="W23" s="1325">
        <f>J23</f>
        <v>100</v>
      </c>
      <c r="X23" s="1318"/>
      <c r="Y23" s="372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728"/>
      <c r="Q24" s="1470"/>
      <c r="R24" s="1324"/>
      <c r="S24" s="1325"/>
      <c r="T24" s="1324"/>
      <c r="U24" s="1325"/>
      <c r="V24" s="1324"/>
      <c r="W24" s="1325"/>
      <c r="X24" s="1469"/>
      <c r="Y24" s="3728"/>
      <c r="Z24" s="1471"/>
      <c r="AA24" s="1327"/>
      <c r="AB24" s="1327"/>
      <c r="AC24" s="1327"/>
    </row>
    <row r="25" spans="1:29" ht="54">
      <c r="A25" s="747"/>
      <c r="B25" s="2770"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728"/>
      <c r="Q25" s="1323" t="str">
        <f t="shared" si="8"/>
        <v>自然及人文环境状况</v>
      </c>
      <c r="R25" s="1324" t="s">
        <v>63</v>
      </c>
      <c r="S25" s="1325">
        <f>F25</f>
        <v>100</v>
      </c>
      <c r="T25" s="1324" t="s">
        <v>63</v>
      </c>
      <c r="U25" s="1325">
        <f>H25</f>
        <v>100</v>
      </c>
      <c r="V25" s="1324" t="s">
        <v>63</v>
      </c>
      <c r="W25" s="1325">
        <f>J25</f>
        <v>100</v>
      </c>
      <c r="X25" s="1318"/>
      <c r="Y25" s="372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728"/>
      <c r="Q26" s="1323"/>
      <c r="R26" s="1324"/>
      <c r="S26" s="1325"/>
      <c r="T26" s="1324"/>
      <c r="U26" s="1325"/>
      <c r="V26" s="1324"/>
      <c r="W26" s="1325"/>
      <c r="X26" s="1318"/>
      <c r="Y26" s="3728"/>
      <c r="Z26" s="1326"/>
      <c r="AA26" s="1327">
        <v>1</v>
      </c>
      <c r="AB26" s="1327">
        <v>1</v>
      </c>
      <c r="AC26" s="1327">
        <v>1</v>
      </c>
    </row>
    <row r="27" spans="1:29" s="407" customFormat="1" ht="40.5">
      <c r="A27" s="992"/>
      <c r="B27" s="1412" t="s">
        <v>2667</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728"/>
      <c r="Q27" s="296" t="str">
        <f t="shared" si="8"/>
        <v>公共配套设施</v>
      </c>
      <c r="R27" s="1319" t="s">
        <v>63</v>
      </c>
      <c r="S27" s="1320">
        <f>F27</f>
        <v>100</v>
      </c>
      <c r="T27" s="1319" t="s">
        <v>63</v>
      </c>
      <c r="U27" s="1320">
        <f>H27</f>
        <v>100</v>
      </c>
      <c r="V27" s="1319" t="s">
        <v>63</v>
      </c>
      <c r="W27" s="1320">
        <f>J27</f>
        <v>100</v>
      </c>
      <c r="X27" s="1321"/>
      <c r="Y27" s="3728"/>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728"/>
      <c r="Q28" s="296"/>
      <c r="R28" s="1319"/>
      <c r="S28" s="1320"/>
      <c r="T28" s="1319"/>
      <c r="U28" s="1320"/>
      <c r="V28" s="1319"/>
      <c r="W28" s="1320"/>
      <c r="X28" s="1321"/>
      <c r="Y28" s="3728"/>
      <c r="Z28" s="344"/>
      <c r="AA28" s="1327">
        <v>1</v>
      </c>
      <c r="AB28" s="1327">
        <v>1</v>
      </c>
      <c r="AC28" s="1327">
        <v>1</v>
      </c>
    </row>
    <row r="29" spans="1:29" s="407" customFormat="1" ht="40.5">
      <c r="A29" s="992"/>
      <c r="B29" s="1412" t="s">
        <v>2668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728"/>
      <c r="Q29" s="2745" t="str">
        <f t="shared" ref="Q29" si="9">B29</f>
        <v>基础设施水平</v>
      </c>
      <c r="R29" s="1319" t="s">
        <v>63</v>
      </c>
      <c r="S29" s="1320">
        <f>F29</f>
        <v>100</v>
      </c>
      <c r="T29" s="1319" t="s">
        <v>63</v>
      </c>
      <c r="U29" s="1320">
        <f>H29</f>
        <v>100</v>
      </c>
      <c r="V29" s="1319" t="s">
        <v>63</v>
      </c>
      <c r="W29" s="1320">
        <f>J29</f>
        <v>100</v>
      </c>
      <c r="X29" s="1321"/>
      <c r="Y29" s="3728"/>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728"/>
      <c r="Q30" s="2745"/>
      <c r="R30" s="1319"/>
      <c r="S30" s="1320"/>
      <c r="T30" s="1319"/>
      <c r="U30" s="1320"/>
      <c r="V30" s="1319"/>
      <c r="W30" s="1320"/>
      <c r="X30" s="1321"/>
      <c r="Y30" s="3728"/>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728"/>
      <c r="Q31" s="1323" t="str">
        <f t="shared" si="8"/>
        <v>临街状况</v>
      </c>
      <c r="R31" s="1324" t="s">
        <v>63</v>
      </c>
      <c r="S31" s="1325">
        <f t="shared" ref="S31:S45" si="10">F31</f>
        <v>100</v>
      </c>
      <c r="T31" s="1324" t="s">
        <v>63</v>
      </c>
      <c r="U31" s="1325">
        <f t="shared" ref="U31:U45" si="11">H31</f>
        <v>100</v>
      </c>
      <c r="V31" s="1324" t="s">
        <v>63</v>
      </c>
      <c r="W31" s="1325">
        <f t="shared" ref="W31:W45" si="12">J31</f>
        <v>100</v>
      </c>
      <c r="X31" s="1318"/>
      <c r="Y31" s="3728"/>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728"/>
      <c r="Q32" s="1323" t="str">
        <f t="shared" si="8"/>
        <v>毗邻道路的类型与等级</v>
      </c>
      <c r="R32" s="1324" t="s">
        <v>63</v>
      </c>
      <c r="S32" s="1325">
        <f t="shared" si="10"/>
        <v>100</v>
      </c>
      <c r="T32" s="1324" t="s">
        <v>63</v>
      </c>
      <c r="U32" s="1325">
        <f t="shared" si="11"/>
        <v>100</v>
      </c>
      <c r="V32" s="1324" t="s">
        <v>63</v>
      </c>
      <c r="W32" s="1325">
        <f t="shared" si="12"/>
        <v>100</v>
      </c>
      <c r="X32" s="1318"/>
      <c r="Y32" s="372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728"/>
      <c r="Q33" s="1323"/>
      <c r="R33" s="1324"/>
      <c r="S33" s="1325"/>
      <c r="T33" s="1324"/>
      <c r="U33" s="1325"/>
      <c r="V33" s="1324"/>
      <c r="W33" s="1325"/>
      <c r="X33" s="1318"/>
      <c r="Y33" s="3728"/>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728"/>
      <c r="Q34" s="1323" t="str">
        <f t="shared" si="8"/>
        <v>土地级别</v>
      </c>
      <c r="R34" s="1324" t="s">
        <v>63</v>
      </c>
      <c r="S34" s="1325">
        <f t="shared" si="10"/>
        <v>100</v>
      </c>
      <c r="T34" s="1324" t="s">
        <v>63</v>
      </c>
      <c r="U34" s="1325">
        <f t="shared" si="11"/>
        <v>100</v>
      </c>
      <c r="V34" s="1324" t="s">
        <v>63</v>
      </c>
      <c r="W34" s="1325">
        <f t="shared" si="12"/>
        <v>100</v>
      </c>
      <c r="X34" s="1318"/>
      <c r="Y34" s="3728"/>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728"/>
      <c r="Q35" s="1323">
        <f t="shared" si="8"/>
        <v>111</v>
      </c>
      <c r="R35" s="1324" t="s">
        <v>63</v>
      </c>
      <c r="S35" s="1325">
        <f t="shared" si="10"/>
        <v>100</v>
      </c>
      <c r="T35" s="1324" t="s">
        <v>63</v>
      </c>
      <c r="U35" s="1325">
        <f t="shared" si="11"/>
        <v>100</v>
      </c>
      <c r="V35" s="1324" t="s">
        <v>63</v>
      </c>
      <c r="W35" s="1325">
        <f t="shared" si="12"/>
        <v>100</v>
      </c>
      <c r="X35" s="1318"/>
      <c r="Y35" s="3728"/>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729" t="s">
        <v>407</v>
      </c>
      <c r="Q36" s="1323">
        <f t="shared" si="8"/>
        <v>111</v>
      </c>
      <c r="R36" s="1324" t="s">
        <v>63</v>
      </c>
      <c r="S36" s="1325">
        <f t="shared" si="10"/>
        <v>100</v>
      </c>
      <c r="T36" s="1324" t="s">
        <v>63</v>
      </c>
      <c r="U36" s="1325">
        <f t="shared" si="11"/>
        <v>100</v>
      </c>
      <c r="V36" s="1324" t="s">
        <v>63</v>
      </c>
      <c r="W36" s="1325">
        <f t="shared" si="12"/>
        <v>100</v>
      </c>
      <c r="X36" s="1318"/>
      <c r="Y36" s="3730"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730"/>
      <c r="Q37" s="1323">
        <f t="shared" si="8"/>
        <v>111</v>
      </c>
      <c r="R37" s="1329" t="s">
        <v>63</v>
      </c>
      <c r="S37" s="1330">
        <f t="shared" si="10"/>
        <v>100</v>
      </c>
      <c r="T37" s="1329" t="s">
        <v>63</v>
      </c>
      <c r="U37" s="1330">
        <f t="shared" si="11"/>
        <v>100</v>
      </c>
      <c r="V37" s="1329" t="s">
        <v>63</v>
      </c>
      <c r="W37" s="1330">
        <f t="shared" si="12"/>
        <v>100</v>
      </c>
      <c r="X37" s="1331"/>
      <c r="Y37" s="3730"/>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730"/>
      <c r="Q38" s="1323" t="str">
        <f>B38</f>
        <v>宗地面积</v>
      </c>
      <c r="R38" s="1324" t="s">
        <v>63</v>
      </c>
      <c r="S38" s="1325" t="e">
        <f t="shared" si="10"/>
        <v>#N/A</v>
      </c>
      <c r="T38" s="1324" t="s">
        <v>63</v>
      </c>
      <c r="U38" s="1325" t="e">
        <f t="shared" si="11"/>
        <v>#N/A</v>
      </c>
      <c r="V38" s="1324" t="s">
        <v>63</v>
      </c>
      <c r="W38" s="1325" t="e">
        <f t="shared" si="12"/>
        <v>#N/A</v>
      </c>
      <c r="X38" s="1318"/>
      <c r="Y38" s="3730"/>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730"/>
      <c r="Q39" s="1323" t="str">
        <f t="shared" ref="Q39:Q45" si="14">B39</f>
        <v>宗地形状</v>
      </c>
      <c r="R39" s="1324" t="s">
        <v>63</v>
      </c>
      <c r="S39" s="1325">
        <f t="shared" si="10"/>
        <v>100</v>
      </c>
      <c r="T39" s="1324" t="s">
        <v>63</v>
      </c>
      <c r="U39" s="1325">
        <f t="shared" si="11"/>
        <v>100</v>
      </c>
      <c r="V39" s="1324" t="s">
        <v>63</v>
      </c>
      <c r="W39" s="1325">
        <f t="shared" si="12"/>
        <v>100</v>
      </c>
      <c r="X39" s="1318"/>
      <c r="Y39" s="3730"/>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730"/>
      <c r="Q40" s="1323" t="str">
        <f t="shared" si="14"/>
        <v>临街宽度及深度</v>
      </c>
      <c r="R40" s="1324" t="s">
        <v>63</v>
      </c>
      <c r="S40" s="1325">
        <f t="shared" si="10"/>
        <v>100</v>
      </c>
      <c r="T40" s="1324" t="s">
        <v>63</v>
      </c>
      <c r="U40" s="1325">
        <f t="shared" si="11"/>
        <v>100</v>
      </c>
      <c r="V40" s="1324" t="s">
        <v>63</v>
      </c>
      <c r="W40" s="1325">
        <f t="shared" si="12"/>
        <v>100</v>
      </c>
      <c r="X40" s="1318"/>
      <c r="Y40" s="3730"/>
      <c r="Z40" s="1326" t="str">
        <f t="shared" si="13"/>
        <v>临街宽度及深度</v>
      </c>
      <c r="AA40" s="1327">
        <f t="shared" si="3"/>
        <v>1</v>
      </c>
      <c r="AB40" s="1327">
        <f t="shared" si="4"/>
        <v>1</v>
      </c>
      <c r="AC40" s="1327">
        <f t="shared" si="5"/>
        <v>1</v>
      </c>
    </row>
    <row r="41" spans="1:29" s="407" customFormat="1" ht="15">
      <c r="A41" s="816"/>
      <c r="B41" s="2611" t="s">
        <v>2500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730"/>
      <c r="Q41" s="1323" t="str">
        <f t="shared" si="14"/>
        <v>宗地开发程度</v>
      </c>
      <c r="R41" s="1319" t="s">
        <v>63</v>
      </c>
      <c r="S41" s="1320">
        <f t="shared" si="10"/>
        <v>100</v>
      </c>
      <c r="T41" s="1319" t="s">
        <v>63</v>
      </c>
      <c r="U41" s="1320">
        <f t="shared" si="11"/>
        <v>100</v>
      </c>
      <c r="V41" s="1319" t="s">
        <v>63</v>
      </c>
      <c r="W41" s="1320">
        <f t="shared" si="12"/>
        <v>100</v>
      </c>
      <c r="X41" s="1321"/>
      <c r="Y41" s="3730"/>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730" t="s">
        <v>407</v>
      </c>
      <c r="Q42" s="1323" t="str">
        <f t="shared" si="14"/>
        <v>工程地质条件</v>
      </c>
      <c r="R42" s="1324" t="s">
        <v>63</v>
      </c>
      <c r="S42" s="1325">
        <f t="shared" si="10"/>
        <v>100</v>
      </c>
      <c r="T42" s="1324" t="s">
        <v>63</v>
      </c>
      <c r="U42" s="1325">
        <f t="shared" si="11"/>
        <v>100</v>
      </c>
      <c r="V42" s="1324" t="s">
        <v>63</v>
      </c>
      <c r="W42" s="1325">
        <f t="shared" si="12"/>
        <v>100</v>
      </c>
      <c r="X42" s="1318"/>
      <c r="Y42" s="3730"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730"/>
      <c r="Q43" s="1323">
        <f t="shared" si="14"/>
        <v>111</v>
      </c>
      <c r="R43" s="1324" t="s">
        <v>63</v>
      </c>
      <c r="S43" s="1325">
        <f t="shared" si="10"/>
        <v>100</v>
      </c>
      <c r="T43" s="1324" t="s">
        <v>63</v>
      </c>
      <c r="U43" s="1325">
        <f t="shared" si="11"/>
        <v>100</v>
      </c>
      <c r="V43" s="1324" t="s">
        <v>63</v>
      </c>
      <c r="W43" s="1325">
        <f t="shared" si="12"/>
        <v>100</v>
      </c>
      <c r="X43" s="1318"/>
      <c r="Y43" s="373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730"/>
      <c r="Q44" s="1323">
        <f t="shared" si="14"/>
        <v>111</v>
      </c>
      <c r="R44" s="1324" t="s">
        <v>63</v>
      </c>
      <c r="S44" s="1325">
        <f t="shared" si="10"/>
        <v>100</v>
      </c>
      <c r="T44" s="1324" t="s">
        <v>63</v>
      </c>
      <c r="U44" s="1325">
        <f t="shared" si="11"/>
        <v>100</v>
      </c>
      <c r="V44" s="1324" t="s">
        <v>63</v>
      </c>
      <c r="W44" s="1325">
        <f t="shared" si="12"/>
        <v>100</v>
      </c>
      <c r="X44" s="1318"/>
      <c r="Y44" s="373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730"/>
      <c r="Q45" s="1323">
        <f t="shared" si="14"/>
        <v>111</v>
      </c>
      <c r="R45" s="1329" t="s">
        <v>63</v>
      </c>
      <c r="S45" s="1330">
        <f t="shared" si="10"/>
        <v>100</v>
      </c>
      <c r="T45" s="1329" t="s">
        <v>63</v>
      </c>
      <c r="U45" s="1330">
        <f t="shared" si="11"/>
        <v>100</v>
      </c>
      <c r="V45" s="1329" t="s">
        <v>63</v>
      </c>
      <c r="W45" s="1330">
        <f t="shared" si="12"/>
        <v>100</v>
      </c>
      <c r="X45" s="1331"/>
      <c r="Y45" s="3730"/>
      <c r="Z45" s="1332">
        <f t="shared" si="13"/>
        <v>111</v>
      </c>
      <c r="AA45" s="1327">
        <f t="shared" si="3"/>
        <v>1</v>
      </c>
      <c r="AB45" s="1327">
        <f t="shared" si="4"/>
        <v>1</v>
      </c>
      <c r="AC45" s="1327">
        <f t="shared" si="5"/>
        <v>1</v>
      </c>
    </row>
    <row r="46" spans="1:29" ht="15">
      <c r="A46" s="822" t="s">
        <v>488</v>
      </c>
      <c r="B46" s="207" t="s">
        <v>156</v>
      </c>
      <c r="C46" s="1091" t="s">
        <v>23</v>
      </c>
      <c r="D46" s="824"/>
      <c r="E46" s="825"/>
      <c r="F46" s="826"/>
      <c r="G46" s="827"/>
      <c r="H46" s="828"/>
      <c r="I46" s="825"/>
      <c r="J46" s="828"/>
      <c r="K46" s="1400"/>
      <c r="L46" s="2362"/>
      <c r="M46" s="2363"/>
      <c r="N46" s="2350"/>
      <c r="O46" s="2363"/>
      <c r="P46" s="3722" t="str">
        <f>A46</f>
        <v>成交单价</v>
      </c>
      <c r="Q46" s="3722"/>
      <c r="R46" s="3750">
        <f>E46</f>
        <v>0</v>
      </c>
      <c r="S46" s="3750"/>
      <c r="T46" s="3750">
        <f>G46</f>
        <v>0</v>
      </c>
      <c r="U46" s="3750"/>
      <c r="V46" s="3750">
        <f>I46</f>
        <v>0</v>
      </c>
      <c r="W46" s="3750"/>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722" t="str">
        <f>A47</f>
        <v>比较价值（元/平方米）</v>
      </c>
      <c r="Q47" s="3722"/>
      <c r="R47" s="3762" t="e">
        <f>ROUND(PRODUCT(R46,AA7:AA45),0)</f>
        <v>#DIV/0!</v>
      </c>
      <c r="S47" s="3762"/>
      <c r="T47" s="3762" t="e">
        <f>ROUND(PRODUCT(T46,AB7:AB45),0)</f>
        <v>#DIV/0!</v>
      </c>
      <c r="U47" s="3762"/>
      <c r="V47" s="3762" t="e">
        <f>ROUND(PRODUCT(V46,AC7:AC45),0)</f>
        <v>#DIV/0!</v>
      </c>
      <c r="W47" s="3762"/>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724" t="str">
        <f>A48</f>
        <v>估价对象XX用房的比较价值（楼面单价，元/平方米）</v>
      </c>
      <c r="Q48" s="3725"/>
      <c r="R48" s="3763" t="e">
        <f>ROUND(AVERAGE(R47:V47),0)</f>
        <v>#DIV/0!</v>
      </c>
      <c r="S48" s="3763"/>
      <c r="T48" s="3763"/>
      <c r="U48" s="3763"/>
      <c r="V48" s="3763"/>
      <c r="W48" s="3763"/>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7" t="s">
        <v>1890</v>
      </c>
      <c r="D55" s="2394" t="s">
        <v>2324</v>
      </c>
      <c r="E55" s="1095" t="s">
        <v>491</v>
      </c>
      <c r="F55" s="2191" t="s">
        <v>492</v>
      </c>
      <c r="G55" s="3764" t="s">
        <v>2317</v>
      </c>
      <c r="H55" s="3765"/>
      <c r="I55" s="2192" t="s">
        <v>1889</v>
      </c>
      <c r="J55" s="2196">
        <f>项目基本情况!F35</f>
        <v>0</v>
      </c>
      <c r="K55" s="2377" t="s">
        <v>1891</v>
      </c>
      <c r="L55" s="2190"/>
      <c r="M55" s="2363"/>
      <c r="N55" s="2363"/>
      <c r="O55" s="2363"/>
    </row>
    <row r="56" spans="1:15" s="1101" customFormat="1">
      <c r="A56" s="1097" t="s">
        <v>493</v>
      </c>
      <c r="B56" s="1098" t="e">
        <f>C48</f>
        <v>#DIV/0!</v>
      </c>
      <c r="C56" s="1099">
        <v>1</v>
      </c>
      <c r="D56" s="2395">
        <v>1</v>
      </c>
      <c r="E56" s="1099">
        <f>'数据-汇总表'!E8+'数据-汇总表'!E9</f>
        <v>2405.1799999999998</v>
      </c>
      <c r="F56" s="2187" t="e">
        <f t="shared" ref="F56:F65" si="15">ROUND(B56*E56/10000,0)</f>
        <v>#DIV/0!</v>
      </c>
      <c r="G56" s="3766"/>
      <c r="H56" s="3767"/>
      <c r="I56" s="2193">
        <v>1</v>
      </c>
      <c r="J56" s="2197">
        <v>1</v>
      </c>
      <c r="K56" s="2364"/>
      <c r="L56" s="1774"/>
      <c r="M56" s="1774"/>
      <c r="N56" s="1774"/>
      <c r="O56" s="1774"/>
    </row>
    <row r="57" spans="1:15" s="1101" customFormat="1">
      <c r="A57" s="1102" t="s">
        <v>494</v>
      </c>
      <c r="B57" s="594" t="e">
        <f>ROUND($C$48*C57*D57,0)</f>
        <v>#DIV/0!</v>
      </c>
      <c r="C57" s="532">
        <f t="shared" ref="C57:C65" si="16">IF($C$55="北京市系数",I57,J57)</f>
        <v>0.7</v>
      </c>
      <c r="D57" s="2396">
        <v>0.25</v>
      </c>
      <c r="E57" s="1103"/>
      <c r="F57" s="2187" t="e">
        <f t="shared" si="15"/>
        <v>#DIV/0!</v>
      </c>
      <c r="G57" s="3768" t="s">
        <v>2318</v>
      </c>
      <c r="H57" s="2188" t="str">
        <f>项目基本情况!B37</f>
        <v>四级</v>
      </c>
      <c r="I57" s="2193">
        <f>SUMIF(修正!A45:A56,H57,修正!B45:B56)</f>
        <v>0.7</v>
      </c>
      <c r="J57" s="2198"/>
      <c r="K57" s="2363"/>
      <c r="L57" s="1774"/>
      <c r="M57" s="1774"/>
      <c r="N57" s="1774"/>
      <c r="O57" s="1774"/>
    </row>
    <row r="58" spans="1:15" s="1101" customFormat="1">
      <c r="A58" s="1102" t="s">
        <v>495</v>
      </c>
      <c r="B58" s="594" t="e">
        <f t="shared" ref="B58:B65" si="17">ROUND($C$48*C58*D58,0)</f>
        <v>#DIV/0!</v>
      </c>
      <c r="C58" s="532">
        <f t="shared" si="16"/>
        <v>0.4</v>
      </c>
      <c r="D58" s="2396">
        <v>0.25</v>
      </c>
      <c r="E58" s="1103"/>
      <c r="F58" s="2187" t="e">
        <f t="shared" si="15"/>
        <v>#DIV/0!</v>
      </c>
      <c r="G58" s="3768"/>
      <c r="H58" s="2188" t="str">
        <f>项目基本情况!B37</f>
        <v>四级</v>
      </c>
      <c r="I58" s="2193">
        <f>SUMIF(修正!A45:A56,H58,修正!C45:C56)</f>
        <v>0.4</v>
      </c>
      <c r="J58" s="2198"/>
      <c r="K58" s="2364"/>
      <c r="L58" s="1774"/>
      <c r="M58" s="1774"/>
      <c r="N58" s="1774"/>
      <c r="O58" s="1774"/>
    </row>
    <row r="59" spans="1:15" s="1101" customFormat="1">
      <c r="A59" s="1102" t="s">
        <v>496</v>
      </c>
      <c r="B59" s="594" t="e">
        <f t="shared" si="17"/>
        <v>#DIV/0!</v>
      </c>
      <c r="C59" s="532">
        <f t="shared" si="16"/>
        <v>0.28000000000000003</v>
      </c>
      <c r="D59" s="2396">
        <v>0.25</v>
      </c>
      <c r="E59" s="1103"/>
      <c r="F59" s="2187" t="e">
        <f t="shared" si="15"/>
        <v>#DIV/0!</v>
      </c>
      <c r="G59" s="3768"/>
      <c r="H59" s="2188" t="str">
        <f>项目基本情况!B37</f>
        <v>四级</v>
      </c>
      <c r="I59" s="2193">
        <f>SUMIF(修正!A45:A56,H59,修正!D45:D56)</f>
        <v>0.28000000000000003</v>
      </c>
      <c r="J59" s="2198"/>
      <c r="K59" s="2363"/>
      <c r="L59" s="1774"/>
      <c r="M59" s="1774"/>
      <c r="N59" s="1774"/>
      <c r="O59" s="1774"/>
    </row>
    <row r="60" spans="1:15" s="1101" customFormat="1">
      <c r="A60" s="1102" t="s">
        <v>497</v>
      </c>
      <c r="B60" s="594" t="e">
        <f t="shared" si="17"/>
        <v>#DIV/0!</v>
      </c>
      <c r="C60" s="532">
        <f t="shared" si="16"/>
        <v>0.25</v>
      </c>
      <c r="D60" s="2396">
        <v>0.25</v>
      </c>
      <c r="E60" s="1103"/>
      <c r="F60" s="2187" t="e">
        <f t="shared" si="15"/>
        <v>#DIV/0!</v>
      </c>
      <c r="G60" s="3768"/>
      <c r="H60" s="2188" t="str">
        <f>项目基本情况!B37</f>
        <v>四级</v>
      </c>
      <c r="I60" s="2193">
        <f>SUMIF(修正!A45:A56,H60,修正!E45:E56)</f>
        <v>0.25</v>
      </c>
      <c r="J60" s="2198"/>
      <c r="K60" s="2364"/>
      <c r="L60" s="1774"/>
      <c r="M60" s="1774"/>
      <c r="N60" s="1774"/>
      <c r="O60" s="1774"/>
    </row>
    <row r="61" spans="1:15" s="1101" customFormat="1">
      <c r="A61" s="2516" t="s">
        <v>2399</v>
      </c>
      <c r="B61" s="594" t="e">
        <f t="shared" si="17"/>
        <v>#DIV/0!</v>
      </c>
      <c r="C61" s="532">
        <f t="shared" si="16"/>
        <v>0</v>
      </c>
      <c r="D61" s="2396">
        <v>0.25</v>
      </c>
      <c r="E61" s="593">
        <f>'数据-汇总表'!E11</f>
        <v>0</v>
      </c>
      <c r="F61" s="2187" t="e">
        <f t="shared" si="15"/>
        <v>#DIV/0!</v>
      </c>
      <c r="G61" s="2200" t="s">
        <v>2319</v>
      </c>
      <c r="H61" s="2188">
        <f>项目基本情况!C37</f>
        <v>0</v>
      </c>
      <c r="I61" s="2193">
        <f>SUMIF(修正!A45:A56,H61,修正!F45:F56)</f>
        <v>0</v>
      </c>
      <c r="J61" s="2198"/>
      <c r="K61" s="2363"/>
      <c r="L61" s="1774"/>
      <c r="M61" s="1774"/>
      <c r="N61" s="1774"/>
      <c r="O61" s="1774"/>
    </row>
    <row r="62" spans="1:15" s="1101" customFormat="1">
      <c r="A62" s="1102" t="s">
        <v>498</v>
      </c>
      <c r="B62" s="594" t="e">
        <f t="shared" si="17"/>
        <v>#DIV/0!</v>
      </c>
      <c r="C62" s="532">
        <f t="shared" si="16"/>
        <v>0</v>
      </c>
      <c r="D62" s="2396">
        <v>0.25</v>
      </c>
      <c r="E62" s="593">
        <f>'数据-汇总表'!E12</f>
        <v>0</v>
      </c>
      <c r="F62" s="2187" t="e">
        <f t="shared" si="15"/>
        <v>#DIV/0!</v>
      </c>
      <c r="G62" s="2194" t="s">
        <v>139</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499</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500</v>
      </c>
      <c r="B64" s="594" t="e">
        <f t="shared" si="17"/>
        <v>#DIV/0!</v>
      </c>
      <c r="C64" s="532">
        <f t="shared" si="16"/>
        <v>0.2</v>
      </c>
      <c r="D64" s="2396">
        <v>0.25</v>
      </c>
      <c r="E64" s="593">
        <f>'数据-汇总表'!E14</f>
        <v>0</v>
      </c>
      <c r="F64" s="2187" t="e">
        <f t="shared" si="15"/>
        <v>#DIV/0!</v>
      </c>
      <c r="G64" s="2200" t="s">
        <v>2320</v>
      </c>
      <c r="H64" s="2188" t="str">
        <f>项目基本情况!B37</f>
        <v>四级</v>
      </c>
      <c r="I64" s="2193">
        <f>SUMIF(修正!A45:A56,H64,修正!H45:H56)</f>
        <v>0.2</v>
      </c>
      <c r="J64" s="2198"/>
      <c r="K64" s="2364"/>
      <c r="L64" s="1774"/>
      <c r="M64" s="1774"/>
      <c r="N64" s="1774"/>
      <c r="O64" s="1774"/>
    </row>
    <row r="65" spans="1:17" s="1101" customFormat="1" ht="15" thickBot="1">
      <c r="A65" s="1102" t="s">
        <v>501</v>
      </c>
      <c r="B65" s="594" t="e">
        <f t="shared" si="17"/>
        <v>#DIV/0!</v>
      </c>
      <c r="C65" s="532">
        <f t="shared" si="16"/>
        <v>0</v>
      </c>
      <c r="D65" s="2396">
        <v>0.25</v>
      </c>
      <c r="E65" s="593">
        <f>'数据-汇总表'!E15</f>
        <v>0</v>
      </c>
      <c r="F65" s="2187" t="e">
        <f t="shared" si="15"/>
        <v>#DIV/0!</v>
      </c>
      <c r="G65" s="2201" t="s">
        <v>2319</v>
      </c>
      <c r="H65" s="2202">
        <f>项目基本情况!C37</f>
        <v>0</v>
      </c>
      <c r="I65" s="2195">
        <f>SUMIF(修正!A45:A56,H65,修正!H45:H56)</f>
        <v>0</v>
      </c>
      <c r="J65" s="2199"/>
      <c r="K65" s="2363"/>
      <c r="L65" s="1774"/>
      <c r="M65" s="1774"/>
      <c r="N65" s="1774"/>
      <c r="O65" s="1774"/>
    </row>
    <row r="66" spans="1:17" s="1101" customFormat="1" ht="13.5" thickBot="1">
      <c r="A66" s="1104" t="s">
        <v>502</v>
      </c>
      <c r="B66" s="1105" t="s">
        <v>154</v>
      </c>
      <c r="C66" s="1105" t="s">
        <v>155</v>
      </c>
      <c r="D66" s="1105" t="s">
        <v>2325</v>
      </c>
      <c r="E66" s="1105">
        <f>IF(B46="楼面地价",SUM(E56:E65),'数据-汇总表'!D3)</f>
        <v>2405.1799999999998</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2789</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2667</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2"/>
      <c r="O122" s="2372"/>
      <c r="P122" s="334"/>
      <c r="Q122" s="847"/>
    </row>
    <row r="123" spans="1:17" s="814" customFormat="1" ht="15" thickTop="1">
      <c r="A123" s="936"/>
      <c r="B123" s="1054" t="s">
        <v>2499</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27" sqref="C127:F132"/>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2884</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734" t="s">
        <v>389</v>
      </c>
      <c r="D4" s="3735"/>
      <c r="E4" s="3736" t="s">
        <v>390</v>
      </c>
      <c r="F4" s="3737"/>
      <c r="G4" s="3734" t="s">
        <v>391</v>
      </c>
      <c r="H4" s="3735"/>
      <c r="I4" s="3734" t="s">
        <v>392</v>
      </c>
      <c r="J4" s="3735"/>
      <c r="K4" s="953" t="s">
        <v>393</v>
      </c>
      <c r="L4" s="2349"/>
      <c r="M4" s="2350"/>
      <c r="N4" s="2350"/>
      <c r="O4" s="2350"/>
      <c r="P4" s="3738" t="s">
        <v>394</v>
      </c>
      <c r="Q4" s="3739"/>
      <c r="R4" s="3744" t="s">
        <v>390</v>
      </c>
      <c r="S4" s="3745"/>
      <c r="T4" s="3744" t="s">
        <v>391</v>
      </c>
      <c r="U4" s="3745"/>
      <c r="V4" s="3750" t="s">
        <v>392</v>
      </c>
      <c r="W4" s="3750"/>
      <c r="X4" s="1318"/>
      <c r="Y4" s="3744" t="s">
        <v>394</v>
      </c>
      <c r="Z4" s="3745"/>
      <c r="AA4" s="3731" t="s">
        <v>390</v>
      </c>
      <c r="AB4" s="3732" t="s">
        <v>391</v>
      </c>
      <c r="AC4" s="3731" t="s">
        <v>392</v>
      </c>
    </row>
    <row r="5" spans="1:29" ht="15">
      <c r="A5" s="747"/>
      <c r="B5" s="748"/>
      <c r="C5" s="3664" t="s">
        <v>1129</v>
      </c>
      <c r="D5" s="3665"/>
      <c r="E5" s="3671" t="s">
        <v>1130</v>
      </c>
      <c r="F5" s="3672"/>
      <c r="G5" s="3664" t="s">
        <v>1133</v>
      </c>
      <c r="H5" s="3665"/>
      <c r="I5" s="3664" t="s">
        <v>1131</v>
      </c>
      <c r="J5" s="3665"/>
      <c r="K5" s="953"/>
      <c r="L5" s="2349"/>
      <c r="M5" s="2350"/>
      <c r="N5" s="2350"/>
      <c r="O5" s="2350"/>
      <c r="P5" s="3740"/>
      <c r="Q5" s="3741"/>
      <c r="R5" s="3746"/>
      <c r="S5" s="3747"/>
      <c r="T5" s="3746"/>
      <c r="U5" s="3747"/>
      <c r="V5" s="3750"/>
      <c r="W5" s="3750"/>
      <c r="X5" s="1318"/>
      <c r="Y5" s="3746"/>
      <c r="Z5" s="3747"/>
      <c r="AA5" s="3732"/>
      <c r="AB5" s="3732"/>
      <c r="AC5" s="3732"/>
    </row>
    <row r="6" spans="1:29" ht="15.75" thickBot="1">
      <c r="A6" s="749"/>
      <c r="B6" s="750"/>
      <c r="C6" s="3769" t="s">
        <v>1132</v>
      </c>
      <c r="D6" s="3770"/>
      <c r="E6" s="3771" t="s">
        <v>1132</v>
      </c>
      <c r="F6" s="3772"/>
      <c r="G6" s="3769" t="s">
        <v>1132</v>
      </c>
      <c r="H6" s="3770"/>
      <c r="I6" s="3769" t="s">
        <v>1132</v>
      </c>
      <c r="J6" s="3770"/>
      <c r="K6" s="953" t="s">
        <v>395</v>
      </c>
      <c r="L6" s="2349"/>
      <c r="M6" s="2350"/>
      <c r="N6" s="2350"/>
      <c r="O6" s="2350"/>
      <c r="P6" s="3742"/>
      <c r="Q6" s="3743"/>
      <c r="R6" s="3746"/>
      <c r="S6" s="3747"/>
      <c r="T6" s="3748"/>
      <c r="U6" s="3749"/>
      <c r="V6" s="3750"/>
      <c r="W6" s="3750"/>
      <c r="X6" s="1318"/>
      <c r="Y6" s="3748"/>
      <c r="Z6" s="3749"/>
      <c r="AA6" s="3733"/>
      <c r="AB6" s="3733"/>
      <c r="AC6" s="3733"/>
    </row>
    <row r="7" spans="1:29" s="407" customFormat="1" ht="15.75" thickBot="1">
      <c r="A7" s="751" t="s">
        <v>396</v>
      </c>
      <c r="B7" s="752"/>
      <c r="C7" s="753">
        <f>'数据-取费表'!B2</f>
        <v>42997</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755" t="s">
        <v>397</v>
      </c>
      <c r="Q7" s="3757"/>
      <c r="R7" s="1319" t="s">
        <v>63</v>
      </c>
      <c r="S7" s="1320">
        <f t="shared" ref="S7:S15" si="0">F7</f>
        <v>0</v>
      </c>
      <c r="T7" s="1319" t="s">
        <v>63</v>
      </c>
      <c r="U7" s="1320">
        <f t="shared" ref="U7:U15" si="1">H7</f>
        <v>0</v>
      </c>
      <c r="V7" s="1319" t="s">
        <v>63</v>
      </c>
      <c r="W7" s="1320">
        <f t="shared" ref="W7:W15" si="2">J7</f>
        <v>0</v>
      </c>
      <c r="X7" s="1321"/>
      <c r="Y7" s="3755" t="s">
        <v>397</v>
      </c>
      <c r="Z7" s="3756"/>
      <c r="AA7" s="1322" t="e">
        <f>D7/F7</f>
        <v>#DIV/0!</v>
      </c>
      <c r="AB7" s="1322" t="e">
        <f>D7/H7</f>
        <v>#DIV/0!</v>
      </c>
      <c r="AC7" s="1322" t="e">
        <f>D7/J7</f>
        <v>#DIV/0!</v>
      </c>
    </row>
    <row r="8" spans="1:29" s="407" customFormat="1" ht="15.75" thickBot="1">
      <c r="A8" s="751" t="s">
        <v>398</v>
      </c>
      <c r="B8" s="752"/>
      <c r="C8" s="1020" t="s">
        <v>153</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755" t="s">
        <v>433</v>
      </c>
      <c r="Q8" s="3756"/>
      <c r="R8" s="1319" t="s">
        <v>63</v>
      </c>
      <c r="S8" s="1320">
        <f t="shared" si="0"/>
        <v>0</v>
      </c>
      <c r="T8" s="1319" t="s">
        <v>63</v>
      </c>
      <c r="U8" s="1320">
        <f t="shared" si="1"/>
        <v>0</v>
      </c>
      <c r="V8" s="1319" t="s">
        <v>63</v>
      </c>
      <c r="W8" s="1320">
        <f t="shared" si="2"/>
        <v>0</v>
      </c>
      <c r="X8" s="1321"/>
      <c r="Y8" s="3755" t="s">
        <v>433</v>
      </c>
      <c r="Z8" s="3756"/>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722" t="s">
        <v>400</v>
      </c>
      <c r="Q9" s="296" t="str">
        <f t="shared" ref="Q9:Q15" si="6">B9</f>
        <v>用途</v>
      </c>
      <c r="R9" s="1319" t="s">
        <v>63</v>
      </c>
      <c r="S9" s="1320">
        <f t="shared" si="0"/>
        <v>100</v>
      </c>
      <c r="T9" s="1319" t="s">
        <v>63</v>
      </c>
      <c r="U9" s="1320">
        <f t="shared" si="1"/>
        <v>100</v>
      </c>
      <c r="V9" s="1319" t="s">
        <v>63</v>
      </c>
      <c r="W9" s="1320">
        <f t="shared" si="2"/>
        <v>100</v>
      </c>
      <c r="X9" s="1321"/>
      <c r="Y9" s="3522"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127</v>
      </c>
      <c r="G10" s="1024"/>
      <c r="H10" s="426">
        <f>ROUND(100/'数据-取费表'!G16,0)</f>
        <v>127</v>
      </c>
      <c r="I10" s="1024"/>
      <c r="J10" s="426">
        <f>ROUND(100/'数据-取费表'!G16,0)</f>
        <v>127</v>
      </c>
      <c r="K10" s="1081"/>
      <c r="L10" s="2354"/>
      <c r="M10" s="2355"/>
      <c r="N10" s="2355"/>
      <c r="O10" s="2356"/>
      <c r="P10" s="3722"/>
      <c r="Q10" s="296" t="str">
        <f t="shared" si="6"/>
        <v>土地使用年限（年）</v>
      </c>
      <c r="R10" s="1319" t="s">
        <v>63</v>
      </c>
      <c r="S10" s="1320">
        <f t="shared" si="0"/>
        <v>127</v>
      </c>
      <c r="T10" s="1319" t="s">
        <v>63</v>
      </c>
      <c r="U10" s="1320">
        <f t="shared" si="1"/>
        <v>127</v>
      </c>
      <c r="V10" s="1319" t="s">
        <v>63</v>
      </c>
      <c r="W10" s="1320">
        <f t="shared" si="2"/>
        <v>127</v>
      </c>
      <c r="X10" s="1321"/>
      <c r="Y10" s="3522"/>
      <c r="Z10" s="344" t="str">
        <f t="shared" si="7"/>
        <v>土地使用年限（年）</v>
      </c>
      <c r="AA10" s="1322">
        <f t="shared" si="3"/>
        <v>0.78740157480314965</v>
      </c>
      <c r="AB10" s="1322">
        <f t="shared" si="4"/>
        <v>0.78740157480314965</v>
      </c>
      <c r="AC10" s="1322">
        <f t="shared" si="5"/>
        <v>0.78740157480314965</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722"/>
      <c r="Q11" s="296" t="str">
        <f t="shared" si="6"/>
        <v>容积率</v>
      </c>
      <c r="R11" s="1319" t="s">
        <v>63</v>
      </c>
      <c r="S11" s="1320" t="e">
        <f t="shared" si="0"/>
        <v>#N/A</v>
      </c>
      <c r="T11" s="1319" t="s">
        <v>63</v>
      </c>
      <c r="U11" s="1320" t="e">
        <f t="shared" si="1"/>
        <v>#N/A</v>
      </c>
      <c r="V11" s="1319" t="s">
        <v>63</v>
      </c>
      <c r="W11" s="1320" t="e">
        <f t="shared" si="2"/>
        <v>#N/A</v>
      </c>
      <c r="X11" s="1321"/>
      <c r="Y11" s="3522"/>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722"/>
      <c r="Q12" s="296">
        <f t="shared" si="6"/>
        <v>111</v>
      </c>
      <c r="R12" s="1319" t="s">
        <v>63</v>
      </c>
      <c r="S12" s="1320">
        <f t="shared" si="0"/>
        <v>100</v>
      </c>
      <c r="T12" s="1319" t="s">
        <v>63</v>
      </c>
      <c r="U12" s="1320">
        <f t="shared" si="1"/>
        <v>100</v>
      </c>
      <c r="V12" s="1319" t="s">
        <v>63</v>
      </c>
      <c r="W12" s="1320">
        <f t="shared" si="2"/>
        <v>100</v>
      </c>
      <c r="X12" s="1321"/>
      <c r="Y12" s="352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722"/>
      <c r="Q13" s="296">
        <f t="shared" si="6"/>
        <v>111</v>
      </c>
      <c r="R13" s="1319" t="s">
        <v>63</v>
      </c>
      <c r="S13" s="1320">
        <f t="shared" si="0"/>
        <v>100</v>
      </c>
      <c r="T13" s="1319" t="s">
        <v>63</v>
      </c>
      <c r="U13" s="1320">
        <f t="shared" si="1"/>
        <v>100</v>
      </c>
      <c r="V13" s="1319" t="s">
        <v>63</v>
      </c>
      <c r="W13" s="1320">
        <f t="shared" si="2"/>
        <v>100</v>
      </c>
      <c r="X13" s="1321"/>
      <c r="Y13" s="352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722"/>
      <c r="Q14" s="296">
        <f t="shared" si="6"/>
        <v>111</v>
      </c>
      <c r="R14" s="1319" t="s">
        <v>63</v>
      </c>
      <c r="S14" s="1320">
        <f t="shared" si="0"/>
        <v>100</v>
      </c>
      <c r="T14" s="1319" t="s">
        <v>63</v>
      </c>
      <c r="U14" s="1320">
        <f t="shared" si="1"/>
        <v>100</v>
      </c>
      <c r="V14" s="1319" t="s">
        <v>63</v>
      </c>
      <c r="W14" s="1320">
        <f t="shared" si="2"/>
        <v>100</v>
      </c>
      <c r="X14" s="1321"/>
      <c r="Y14" s="3522"/>
      <c r="Z14" s="344">
        <f t="shared" si="7"/>
        <v>111</v>
      </c>
      <c r="AA14" s="1322">
        <f t="shared" si="3"/>
        <v>1</v>
      </c>
      <c r="AB14" s="1322">
        <f t="shared" si="4"/>
        <v>1</v>
      </c>
      <c r="AC14" s="1322">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727" t="s">
        <v>405</v>
      </c>
      <c r="Q15" s="1323" t="str">
        <f t="shared" si="6"/>
        <v>产业集聚程度</v>
      </c>
      <c r="R15" s="1324" t="s">
        <v>63</v>
      </c>
      <c r="S15" s="1325">
        <f t="shared" si="0"/>
        <v>100</v>
      </c>
      <c r="T15" s="1324" t="s">
        <v>63</v>
      </c>
      <c r="U15" s="1325">
        <f t="shared" si="1"/>
        <v>100</v>
      </c>
      <c r="V15" s="1324" t="s">
        <v>63</v>
      </c>
      <c r="W15" s="1325">
        <f t="shared" si="2"/>
        <v>100</v>
      </c>
      <c r="X15" s="1318"/>
      <c r="Y15" s="3727"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728"/>
      <c r="Q16" s="1323"/>
      <c r="R16" s="1324"/>
      <c r="S16" s="1325"/>
      <c r="T16" s="1324"/>
      <c r="U16" s="1325"/>
      <c r="V16" s="1324"/>
      <c r="W16" s="1325"/>
      <c r="X16" s="1318"/>
      <c r="Y16" s="3728"/>
      <c r="Z16" s="1326"/>
      <c r="AA16" s="1327">
        <v>1</v>
      </c>
      <c r="AB16" s="1327">
        <v>1</v>
      </c>
      <c r="AC16" s="1327">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728"/>
      <c r="Q17" s="1323" t="str">
        <f>B17</f>
        <v>交通便捷度</v>
      </c>
      <c r="R17" s="1324" t="s">
        <v>63</v>
      </c>
      <c r="S17" s="1325">
        <f>F17</f>
        <v>100</v>
      </c>
      <c r="T17" s="1324" t="s">
        <v>63</v>
      </c>
      <c r="U17" s="1325">
        <f>H17</f>
        <v>100</v>
      </c>
      <c r="V17" s="1324" t="s">
        <v>63</v>
      </c>
      <c r="W17" s="1325">
        <f>J17</f>
        <v>100</v>
      </c>
      <c r="X17" s="1318"/>
      <c r="Y17" s="372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728"/>
      <c r="Q18" s="1323"/>
      <c r="R18" s="1324"/>
      <c r="S18" s="1325"/>
      <c r="T18" s="1324"/>
      <c r="U18" s="1325"/>
      <c r="V18" s="1324"/>
      <c r="W18" s="1325"/>
      <c r="X18" s="1318"/>
      <c r="Y18" s="3728"/>
      <c r="Z18" s="1326"/>
      <c r="AA18" s="1327">
        <v>1</v>
      </c>
      <c r="AB18" s="1327">
        <v>1</v>
      </c>
      <c r="AC18" s="1327">
        <v>1</v>
      </c>
    </row>
    <row r="19" spans="1:29" ht="27">
      <c r="A19" s="771"/>
      <c r="B19" s="974" t="s">
        <v>1851</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728"/>
      <c r="Q19" s="1323" t="str">
        <f t="shared" ref="Q19:Q33" si="8">B19</f>
        <v>区域土地利用方向</v>
      </c>
      <c r="R19" s="1324" t="s">
        <v>63</v>
      </c>
      <c r="S19" s="1325">
        <f>F19</f>
        <v>100</v>
      </c>
      <c r="T19" s="1324" t="s">
        <v>63</v>
      </c>
      <c r="U19" s="1325">
        <f>H19</f>
        <v>100</v>
      </c>
      <c r="V19" s="1324" t="s">
        <v>63</v>
      </c>
      <c r="W19" s="1325">
        <f>J19</f>
        <v>100</v>
      </c>
      <c r="X19" s="1318"/>
      <c r="Y19" s="372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728"/>
      <c r="Q20" s="1470"/>
      <c r="R20" s="1324"/>
      <c r="S20" s="1325"/>
      <c r="T20" s="1324"/>
      <c r="U20" s="1325"/>
      <c r="V20" s="1324"/>
      <c r="W20" s="1325"/>
      <c r="X20" s="1469"/>
      <c r="Y20" s="3728"/>
      <c r="Z20" s="1471"/>
      <c r="AA20" s="1327"/>
      <c r="AB20" s="1327"/>
      <c r="AC20" s="1327"/>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728"/>
      <c r="Q21" s="1323" t="str">
        <f t="shared" si="8"/>
        <v>环境状况</v>
      </c>
      <c r="R21" s="1324" t="s">
        <v>63</v>
      </c>
      <c r="S21" s="1325">
        <f>F21</f>
        <v>100</v>
      </c>
      <c r="T21" s="1324" t="s">
        <v>63</v>
      </c>
      <c r="U21" s="1325">
        <f>H21</f>
        <v>100</v>
      </c>
      <c r="V21" s="1324" t="s">
        <v>63</v>
      </c>
      <c r="W21" s="1325">
        <f>J21</f>
        <v>100</v>
      </c>
      <c r="X21" s="1318"/>
      <c r="Y21" s="372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728"/>
      <c r="Q22" s="1323"/>
      <c r="R22" s="1324"/>
      <c r="S22" s="1325"/>
      <c r="T22" s="1324"/>
      <c r="U22" s="1325"/>
      <c r="V22" s="1324"/>
      <c r="W22" s="1325"/>
      <c r="X22" s="1318"/>
      <c r="Y22" s="3728"/>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728"/>
      <c r="Q23" s="296" t="str">
        <f t="shared" si="8"/>
        <v>公共配套设施</v>
      </c>
      <c r="R23" s="1319" t="s">
        <v>63</v>
      </c>
      <c r="S23" s="1320">
        <f>F23</f>
        <v>100</v>
      </c>
      <c r="T23" s="1319" t="s">
        <v>63</v>
      </c>
      <c r="U23" s="1320">
        <f>H23</f>
        <v>100</v>
      </c>
      <c r="V23" s="1319" t="s">
        <v>63</v>
      </c>
      <c r="W23" s="1320">
        <f>J23</f>
        <v>100</v>
      </c>
      <c r="X23" s="1321"/>
      <c r="Y23" s="3728"/>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728"/>
      <c r="Q24" s="296"/>
      <c r="R24" s="1319"/>
      <c r="S24" s="1320"/>
      <c r="T24" s="1319"/>
      <c r="U24" s="1320"/>
      <c r="V24" s="1319"/>
      <c r="W24" s="1320"/>
      <c r="X24" s="1321"/>
      <c r="Y24" s="3728"/>
      <c r="Z24" s="344"/>
      <c r="AA24" s="1322">
        <v>1</v>
      </c>
      <c r="AB24" s="1322">
        <v>1</v>
      </c>
      <c r="AC24" s="1322">
        <v>1</v>
      </c>
    </row>
    <row r="25" spans="1:29" s="407" customFormat="1" ht="40.5">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728"/>
      <c r="Q25" s="2745" t="str">
        <f t="shared" ref="Q25" si="9">B25</f>
        <v>基础设施水平</v>
      </c>
      <c r="R25" s="1319" t="s">
        <v>63</v>
      </c>
      <c r="S25" s="1320">
        <f>F25</f>
        <v>100</v>
      </c>
      <c r="T25" s="1319" t="s">
        <v>63</v>
      </c>
      <c r="U25" s="1320">
        <f>H25</f>
        <v>100</v>
      </c>
      <c r="V25" s="1319" t="s">
        <v>63</v>
      </c>
      <c r="W25" s="1320">
        <f>J25</f>
        <v>100</v>
      </c>
      <c r="X25" s="1321"/>
      <c r="Y25" s="3728"/>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728"/>
      <c r="Q26" s="2745"/>
      <c r="R26" s="1319"/>
      <c r="S26" s="1320"/>
      <c r="T26" s="1319"/>
      <c r="U26" s="1320"/>
      <c r="V26" s="1319"/>
      <c r="W26" s="1320"/>
      <c r="X26" s="1321"/>
      <c r="Y26" s="3728"/>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728"/>
      <c r="Q27" s="1323" t="str">
        <f t="shared" si="8"/>
        <v>临街状况</v>
      </c>
      <c r="R27" s="1324" t="s">
        <v>63</v>
      </c>
      <c r="S27" s="1325">
        <f t="shared" ref="S27:S40" si="10">F27</f>
        <v>100</v>
      </c>
      <c r="T27" s="1324" t="s">
        <v>63</v>
      </c>
      <c r="U27" s="1325">
        <f t="shared" ref="U27:U40" si="11">H27</f>
        <v>100</v>
      </c>
      <c r="V27" s="1324" t="s">
        <v>63</v>
      </c>
      <c r="W27" s="1325">
        <f t="shared" ref="W27:W40" si="12">J27</f>
        <v>100</v>
      </c>
      <c r="X27" s="1318"/>
      <c r="Y27" s="3728"/>
      <c r="Z27" s="1326" t="str">
        <f t="shared" ref="Z27:Z40" si="13">Q27</f>
        <v>临街状况</v>
      </c>
      <c r="AA27" s="1327">
        <f t="shared" si="3"/>
        <v>1</v>
      </c>
      <c r="AB27" s="1327">
        <f t="shared" si="4"/>
        <v>1</v>
      </c>
      <c r="AC27" s="1327">
        <f t="shared" si="5"/>
        <v>1</v>
      </c>
    </row>
    <row r="28" spans="1:29" ht="27">
      <c r="A28" s="771"/>
      <c r="B28" s="976" t="s">
        <v>440</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728"/>
      <c r="Q28" s="1323" t="str">
        <f t="shared" si="8"/>
        <v>毗邻道路的类型与等级</v>
      </c>
      <c r="R28" s="1324" t="s">
        <v>63</v>
      </c>
      <c r="S28" s="1325">
        <f t="shared" si="10"/>
        <v>100</v>
      </c>
      <c r="T28" s="1324" t="s">
        <v>63</v>
      </c>
      <c r="U28" s="1325">
        <f t="shared" si="11"/>
        <v>100</v>
      </c>
      <c r="V28" s="1324" t="s">
        <v>63</v>
      </c>
      <c r="W28" s="1325">
        <f t="shared" si="12"/>
        <v>100</v>
      </c>
      <c r="X28" s="1318"/>
      <c r="Y28" s="372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728"/>
      <c r="Q29" s="1323"/>
      <c r="R29" s="1324"/>
      <c r="S29" s="1325"/>
      <c r="T29" s="1324"/>
      <c r="U29" s="1325"/>
      <c r="V29" s="1324"/>
      <c r="W29" s="1325"/>
      <c r="X29" s="1318"/>
      <c r="Y29" s="3728"/>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728"/>
      <c r="Q30" s="1323" t="str">
        <f t="shared" si="8"/>
        <v>土地级别</v>
      </c>
      <c r="R30" s="1324" t="s">
        <v>63</v>
      </c>
      <c r="S30" s="1325">
        <f t="shared" si="10"/>
        <v>100</v>
      </c>
      <c r="T30" s="1324" t="s">
        <v>63</v>
      </c>
      <c r="U30" s="1325">
        <f t="shared" si="11"/>
        <v>100</v>
      </c>
      <c r="V30" s="1324" t="s">
        <v>63</v>
      </c>
      <c r="W30" s="1325">
        <f t="shared" si="12"/>
        <v>100</v>
      </c>
      <c r="X30" s="1318"/>
      <c r="Y30" s="372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728"/>
      <c r="Q31" s="1323">
        <f t="shared" si="8"/>
        <v>111</v>
      </c>
      <c r="R31" s="1324" t="s">
        <v>63</v>
      </c>
      <c r="S31" s="1325">
        <f t="shared" si="10"/>
        <v>100</v>
      </c>
      <c r="T31" s="1324" t="s">
        <v>63</v>
      </c>
      <c r="U31" s="1325">
        <f t="shared" si="11"/>
        <v>100</v>
      </c>
      <c r="V31" s="1324" t="s">
        <v>63</v>
      </c>
      <c r="W31" s="1325">
        <f t="shared" si="12"/>
        <v>100</v>
      </c>
      <c r="X31" s="1318"/>
      <c r="Y31" s="372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729" t="s">
        <v>407</v>
      </c>
      <c r="Q32" s="1323">
        <f t="shared" si="8"/>
        <v>111</v>
      </c>
      <c r="R32" s="1324" t="s">
        <v>63</v>
      </c>
      <c r="S32" s="1325">
        <f t="shared" si="10"/>
        <v>100</v>
      </c>
      <c r="T32" s="1324" t="s">
        <v>63</v>
      </c>
      <c r="U32" s="1325">
        <f t="shared" si="11"/>
        <v>100</v>
      </c>
      <c r="V32" s="1324" t="s">
        <v>63</v>
      </c>
      <c r="W32" s="1325">
        <f t="shared" si="12"/>
        <v>100</v>
      </c>
      <c r="X32" s="1318"/>
      <c r="Y32" s="3730" t="s">
        <v>407</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730"/>
      <c r="Q33" s="1323">
        <f t="shared" si="8"/>
        <v>111</v>
      </c>
      <c r="R33" s="1329" t="s">
        <v>63</v>
      </c>
      <c r="S33" s="1330">
        <f t="shared" si="10"/>
        <v>100</v>
      </c>
      <c r="T33" s="1329" t="s">
        <v>63</v>
      </c>
      <c r="U33" s="1330">
        <f t="shared" si="11"/>
        <v>100</v>
      </c>
      <c r="V33" s="1329" t="s">
        <v>63</v>
      </c>
      <c r="W33" s="1330">
        <f t="shared" si="12"/>
        <v>100</v>
      </c>
      <c r="X33" s="1331"/>
      <c r="Y33" s="3730"/>
      <c r="Z33" s="1332">
        <f t="shared" si="13"/>
        <v>111</v>
      </c>
      <c r="AA33" s="1327">
        <f t="shared" si="3"/>
        <v>1</v>
      </c>
      <c r="AB33" s="1327">
        <f t="shared" si="4"/>
        <v>1</v>
      </c>
      <c r="AC33" s="1327">
        <f t="shared" si="5"/>
        <v>1</v>
      </c>
    </row>
    <row r="34" spans="1:29" ht="15">
      <c r="A34" s="783" t="s">
        <v>2792</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730"/>
      <c r="Q34" s="1323" t="str">
        <f>B34</f>
        <v>宗地面积</v>
      </c>
      <c r="R34" s="1324" t="s">
        <v>63</v>
      </c>
      <c r="S34" s="1325" t="e">
        <f t="shared" si="10"/>
        <v>#N/A</v>
      </c>
      <c r="T34" s="1324" t="s">
        <v>63</v>
      </c>
      <c r="U34" s="1325" t="e">
        <f t="shared" si="11"/>
        <v>#N/A</v>
      </c>
      <c r="V34" s="1324" t="s">
        <v>63</v>
      </c>
      <c r="W34" s="1325" t="e">
        <f t="shared" si="12"/>
        <v>#N/A</v>
      </c>
      <c r="X34" s="1318"/>
      <c r="Y34" s="3730"/>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730"/>
      <c r="Q35" s="1323" t="str">
        <f t="shared" ref="Q35:Q40" si="14">B35</f>
        <v>宗地形状</v>
      </c>
      <c r="R35" s="1324" t="s">
        <v>63</v>
      </c>
      <c r="S35" s="1325">
        <f t="shared" si="10"/>
        <v>100</v>
      </c>
      <c r="T35" s="1324" t="s">
        <v>63</v>
      </c>
      <c r="U35" s="1325">
        <f t="shared" si="11"/>
        <v>100</v>
      </c>
      <c r="V35" s="1324" t="s">
        <v>63</v>
      </c>
      <c r="W35" s="1325">
        <f t="shared" si="12"/>
        <v>100</v>
      </c>
      <c r="X35" s="1318"/>
      <c r="Y35" s="3730"/>
      <c r="Z35" s="1326" t="str">
        <f t="shared" si="13"/>
        <v>宗地形状</v>
      </c>
      <c r="AA35" s="1327">
        <f t="shared" si="3"/>
        <v>1</v>
      </c>
      <c r="AB35" s="1327">
        <f t="shared" si="4"/>
        <v>1</v>
      </c>
      <c r="AC35" s="1327">
        <f t="shared" si="5"/>
        <v>1</v>
      </c>
    </row>
    <row r="36" spans="1:29" s="407" customFormat="1" ht="15">
      <c r="A36" s="816"/>
      <c r="B36" s="2611" t="s">
        <v>2501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730"/>
      <c r="Q36" s="1323" t="str">
        <f t="shared" si="14"/>
        <v>宗地开发程度</v>
      </c>
      <c r="R36" s="1319" t="s">
        <v>63</v>
      </c>
      <c r="S36" s="1320">
        <f t="shared" si="10"/>
        <v>100</v>
      </c>
      <c r="T36" s="1319" t="s">
        <v>63</v>
      </c>
      <c r="U36" s="1320">
        <f t="shared" si="11"/>
        <v>100</v>
      </c>
      <c r="V36" s="1319" t="s">
        <v>63</v>
      </c>
      <c r="W36" s="1320">
        <f t="shared" si="12"/>
        <v>100</v>
      </c>
      <c r="X36" s="1321"/>
      <c r="Y36" s="3730"/>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730" t="s">
        <v>518</v>
      </c>
      <c r="Q37" s="1323" t="str">
        <f t="shared" si="14"/>
        <v>工程地质条件</v>
      </c>
      <c r="R37" s="1324" t="s">
        <v>63</v>
      </c>
      <c r="S37" s="1325">
        <f t="shared" si="10"/>
        <v>100</v>
      </c>
      <c r="T37" s="1324" t="s">
        <v>63</v>
      </c>
      <c r="U37" s="1325">
        <f t="shared" si="11"/>
        <v>100</v>
      </c>
      <c r="V37" s="1324" t="s">
        <v>63</v>
      </c>
      <c r="W37" s="1325">
        <f t="shared" si="12"/>
        <v>100</v>
      </c>
      <c r="X37" s="1318"/>
      <c r="Y37" s="3730"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730"/>
      <c r="Q38" s="1323">
        <f t="shared" si="14"/>
        <v>111</v>
      </c>
      <c r="R38" s="1324" t="s">
        <v>63</v>
      </c>
      <c r="S38" s="1325">
        <f t="shared" si="10"/>
        <v>100</v>
      </c>
      <c r="T38" s="1324" t="s">
        <v>63</v>
      </c>
      <c r="U38" s="1325">
        <f t="shared" si="11"/>
        <v>100</v>
      </c>
      <c r="V38" s="1324" t="s">
        <v>63</v>
      </c>
      <c r="W38" s="1325">
        <f t="shared" si="12"/>
        <v>100</v>
      </c>
      <c r="X38" s="1318"/>
      <c r="Y38" s="373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730"/>
      <c r="Q39" s="1323">
        <f t="shared" si="14"/>
        <v>111</v>
      </c>
      <c r="R39" s="1324" t="s">
        <v>63</v>
      </c>
      <c r="S39" s="1325">
        <f t="shared" si="10"/>
        <v>100</v>
      </c>
      <c r="T39" s="1324" t="s">
        <v>63</v>
      </c>
      <c r="U39" s="1325">
        <f t="shared" si="11"/>
        <v>100</v>
      </c>
      <c r="V39" s="1324" t="s">
        <v>63</v>
      </c>
      <c r="W39" s="1325">
        <f t="shared" si="12"/>
        <v>100</v>
      </c>
      <c r="X39" s="1318"/>
      <c r="Y39" s="373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730"/>
      <c r="Q40" s="1323">
        <f t="shared" si="14"/>
        <v>111</v>
      </c>
      <c r="R40" s="1329" t="s">
        <v>63</v>
      </c>
      <c r="S40" s="1330">
        <f t="shared" si="10"/>
        <v>100</v>
      </c>
      <c r="T40" s="1329" t="s">
        <v>63</v>
      </c>
      <c r="U40" s="1330">
        <f t="shared" si="11"/>
        <v>100</v>
      </c>
      <c r="V40" s="1329" t="s">
        <v>63</v>
      </c>
      <c r="W40" s="1330">
        <f t="shared" si="12"/>
        <v>100</v>
      </c>
      <c r="X40" s="1331"/>
      <c r="Y40" s="3730"/>
      <c r="Z40" s="1332">
        <f t="shared" si="13"/>
        <v>111</v>
      </c>
      <c r="AA40" s="1327">
        <f t="shared" si="3"/>
        <v>1</v>
      </c>
      <c r="AB40" s="1327">
        <f t="shared" si="4"/>
        <v>1</v>
      </c>
      <c r="AC40" s="1327">
        <f t="shared" si="5"/>
        <v>1</v>
      </c>
    </row>
    <row r="41" spans="1:29" ht="15">
      <c r="A41" s="822" t="s">
        <v>488</v>
      </c>
      <c r="B41" s="207" t="s">
        <v>3021</v>
      </c>
      <c r="C41" s="1091" t="s">
        <v>23</v>
      </c>
      <c r="D41" s="824"/>
      <c r="E41" s="825"/>
      <c r="F41" s="826"/>
      <c r="G41" s="827"/>
      <c r="H41" s="828"/>
      <c r="I41" s="825"/>
      <c r="J41" s="828"/>
      <c r="K41" s="1400"/>
      <c r="L41" s="2362"/>
      <c r="M41" s="2350"/>
      <c r="N41" s="2350"/>
      <c r="O41" s="2363"/>
      <c r="P41" s="3722" t="str">
        <f>A41</f>
        <v>成交单价</v>
      </c>
      <c r="Q41" s="3722"/>
      <c r="R41" s="3750">
        <f>E41</f>
        <v>0</v>
      </c>
      <c r="S41" s="3750"/>
      <c r="T41" s="3750">
        <f>G41</f>
        <v>0</v>
      </c>
      <c r="U41" s="3750"/>
      <c r="V41" s="3750">
        <f>I41</f>
        <v>0</v>
      </c>
      <c r="W41" s="3750"/>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2"/>
      <c r="M42" s="2350"/>
      <c r="N42" s="2350"/>
      <c r="O42" s="2363"/>
      <c r="P42" s="3722" t="str">
        <f>A42</f>
        <v>比较价值（元/平方米）</v>
      </c>
      <c r="Q42" s="3722"/>
      <c r="R42" s="3762" t="e">
        <f>ROUND(PRODUCT(R41,AA7:AA40),0)</f>
        <v>#DIV/0!</v>
      </c>
      <c r="S42" s="3762"/>
      <c r="T42" s="3762" t="e">
        <f>ROUND(PRODUCT(T41,AB7:AB40),0)</f>
        <v>#DIV/0!</v>
      </c>
      <c r="U42" s="3762"/>
      <c r="V42" s="3762" t="e">
        <f>ROUND(PRODUCT(V41,AC7:AC40),0)</f>
        <v>#DIV/0!</v>
      </c>
      <c r="W42" s="3762"/>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2"/>
      <c r="L43" s="2362"/>
      <c r="M43" s="2350"/>
      <c r="N43" s="2350"/>
      <c r="O43" s="2363"/>
      <c r="P43" s="3724" t="str">
        <f>A43</f>
        <v>估价对象XX用房的比较价值（楼面单价，元/平方米）</v>
      </c>
      <c r="Q43" s="3725"/>
      <c r="R43" s="3763" t="e">
        <f>ROUND(AVERAGE(R42:V42),0)</f>
        <v>#DIV/0!</v>
      </c>
      <c r="S43" s="3763"/>
      <c r="T43" s="3763"/>
      <c r="U43" s="3763"/>
      <c r="V43" s="3763"/>
      <c r="W43" s="3763"/>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7" t="s">
        <v>1890</v>
      </c>
      <c r="D50" s="2394" t="s">
        <v>2324</v>
      </c>
      <c r="E50" s="1095" t="s">
        <v>491</v>
      </c>
      <c r="F50" s="1096" t="s">
        <v>492</v>
      </c>
      <c r="G50" s="3764" t="s">
        <v>2317</v>
      </c>
      <c r="H50" s="3765"/>
      <c r="I50" s="2184" t="s">
        <v>1889</v>
      </c>
      <c r="J50" s="1767">
        <f>项目基本情况!F35</f>
        <v>0</v>
      </c>
      <c r="K50" s="2377" t="s">
        <v>1891</v>
      </c>
      <c r="L50" s="2190"/>
      <c r="M50" s="2363"/>
      <c r="N50" s="2363"/>
      <c r="O50" s="2363"/>
    </row>
    <row r="51" spans="1:17" s="1101" customFormat="1">
      <c r="A51" s="1097" t="s">
        <v>493</v>
      </c>
      <c r="B51" s="1098" t="e">
        <f>C43</f>
        <v>#DIV/0!</v>
      </c>
      <c r="C51" s="1099">
        <v>1</v>
      </c>
      <c r="D51" s="2395">
        <v>1</v>
      </c>
      <c r="E51" s="1099">
        <f>'数据-汇总表'!E8+'数据-汇总表'!E9</f>
        <v>2405.1799999999998</v>
      </c>
      <c r="F51" s="1100" t="e">
        <f t="shared" ref="F51:F60" si="15">ROUND(B51*E51/10000,0)</f>
        <v>#DIV/0!</v>
      </c>
      <c r="G51" s="3766"/>
      <c r="H51" s="3767"/>
      <c r="I51" s="1775">
        <v>1</v>
      </c>
      <c r="J51" s="1775">
        <v>1</v>
      </c>
      <c r="K51" s="2364"/>
      <c r="L51" s="1774"/>
      <c r="M51" s="1774"/>
      <c r="N51" s="1774"/>
      <c r="O51" s="1774"/>
    </row>
    <row r="52" spans="1:17" s="1101" customFormat="1">
      <c r="A52" s="1102" t="s">
        <v>494</v>
      </c>
      <c r="B52" s="594" t="e">
        <f>ROUND($C$43*C52*D52,0)</f>
        <v>#DIV/0!</v>
      </c>
      <c r="C52" s="532">
        <f t="shared" ref="C52:C60" si="16">IF($C$50="北京市系数",I52,J52)</f>
        <v>0.7</v>
      </c>
      <c r="D52" s="2396">
        <v>0.25</v>
      </c>
      <c r="E52" s="1103"/>
      <c r="F52" s="1100" t="e">
        <f t="shared" si="15"/>
        <v>#DIV/0!</v>
      </c>
      <c r="G52" s="3768" t="s">
        <v>2318</v>
      </c>
      <c r="H52" s="2188" t="str">
        <f>项目基本情况!B37</f>
        <v>四级</v>
      </c>
      <c r="I52" s="1775">
        <f>SUMIF(修正!A45:A56,H52,修正!B45:B56)</f>
        <v>0.7</v>
      </c>
      <c r="J52" s="1776"/>
      <c r="K52" s="2363"/>
      <c r="L52" s="1774"/>
      <c r="M52" s="1774"/>
      <c r="N52" s="1774"/>
      <c r="O52" s="1774"/>
    </row>
    <row r="53" spans="1:17" s="1101" customFormat="1">
      <c r="A53" s="1102" t="s">
        <v>495</v>
      </c>
      <c r="B53" s="594" t="e">
        <f t="shared" ref="B53:B60" si="17">ROUND($C$43*C53*D53,0)</f>
        <v>#DIV/0!</v>
      </c>
      <c r="C53" s="532">
        <f t="shared" si="16"/>
        <v>0.4</v>
      </c>
      <c r="D53" s="2396">
        <v>0.25</v>
      </c>
      <c r="E53" s="1103"/>
      <c r="F53" s="1100" t="e">
        <f t="shared" si="15"/>
        <v>#DIV/0!</v>
      </c>
      <c r="G53" s="3768"/>
      <c r="H53" s="2188" t="str">
        <f>项目基本情况!B37</f>
        <v>四级</v>
      </c>
      <c r="I53" s="1775">
        <f>SUMIF(修正!A45:A56,H53,修正!C45:C56)</f>
        <v>0.4</v>
      </c>
      <c r="J53" s="1776"/>
      <c r="K53" s="2364"/>
      <c r="L53" s="1774"/>
      <c r="M53" s="1774"/>
      <c r="N53" s="1774"/>
      <c r="O53" s="1774"/>
    </row>
    <row r="54" spans="1:17" s="1101" customFormat="1">
      <c r="A54" s="1102" t="s">
        <v>496</v>
      </c>
      <c r="B54" s="594" t="e">
        <f t="shared" si="17"/>
        <v>#DIV/0!</v>
      </c>
      <c r="C54" s="532">
        <f t="shared" si="16"/>
        <v>0.28000000000000003</v>
      </c>
      <c r="D54" s="2396">
        <v>0.25</v>
      </c>
      <c r="E54" s="1103"/>
      <c r="F54" s="1100" t="e">
        <f t="shared" si="15"/>
        <v>#DIV/0!</v>
      </c>
      <c r="G54" s="3768"/>
      <c r="H54" s="2188" t="str">
        <f>项目基本情况!B37</f>
        <v>四级</v>
      </c>
      <c r="I54" s="1775">
        <f>SUMIF(修正!A45:A56,H54,修正!D45:D56)</f>
        <v>0.28000000000000003</v>
      </c>
      <c r="J54" s="1776"/>
      <c r="K54" s="2363"/>
      <c r="L54" s="1774"/>
      <c r="M54" s="1774"/>
      <c r="N54" s="1774"/>
      <c r="O54" s="1774"/>
    </row>
    <row r="55" spans="1:17" s="1101" customFormat="1">
      <c r="A55" s="1102" t="s">
        <v>497</v>
      </c>
      <c r="B55" s="594" t="e">
        <f t="shared" si="17"/>
        <v>#DIV/0!</v>
      </c>
      <c r="C55" s="532">
        <f t="shared" si="16"/>
        <v>0.25</v>
      </c>
      <c r="D55" s="2396">
        <v>0.25</v>
      </c>
      <c r="E55" s="1103"/>
      <c r="F55" s="1100" t="e">
        <f t="shared" si="15"/>
        <v>#DIV/0!</v>
      </c>
      <c r="G55" s="3768"/>
      <c r="H55" s="2188" t="str">
        <f>项目基本情况!B37</f>
        <v>四级</v>
      </c>
      <c r="I55" s="1775">
        <f>SUMIF(修正!A45:A56,H55,修正!E45:E56)</f>
        <v>0.25</v>
      </c>
      <c r="J55" s="1776"/>
      <c r="K55" s="2364"/>
      <c r="L55" s="1774"/>
      <c r="M55" s="1774"/>
      <c r="N55" s="1774"/>
      <c r="O55" s="1774"/>
    </row>
    <row r="56" spans="1:17" s="1101" customFormat="1">
      <c r="A56" s="2516" t="s">
        <v>2400</v>
      </c>
      <c r="B56" s="594" t="e">
        <f t="shared" si="17"/>
        <v>#DIV/0!</v>
      </c>
      <c r="C56" s="532">
        <f t="shared" si="16"/>
        <v>0</v>
      </c>
      <c r="D56" s="2396">
        <v>0.25</v>
      </c>
      <c r="E56" s="593">
        <f>'数据-汇总表'!E11</f>
        <v>0</v>
      </c>
      <c r="F56" s="1100" t="e">
        <f t="shared" si="15"/>
        <v>#DIV/0!</v>
      </c>
      <c r="G56" s="2200" t="s">
        <v>2319</v>
      </c>
      <c r="H56" s="2188">
        <f>项目基本情况!C37</f>
        <v>0</v>
      </c>
      <c r="I56" s="1775">
        <f>SUMIF(修正!A45:A56,H56,修正!F45:F56)</f>
        <v>0</v>
      </c>
      <c r="J56" s="1776"/>
      <c r="K56" s="2363"/>
      <c r="L56" s="1774"/>
      <c r="M56" s="1774"/>
      <c r="N56" s="1774"/>
      <c r="O56" s="1774"/>
    </row>
    <row r="57" spans="1:17" s="1101" customFormat="1">
      <c r="A57" s="1102" t="s">
        <v>498</v>
      </c>
      <c r="B57" s="594" t="e">
        <f t="shared" si="17"/>
        <v>#DIV/0!</v>
      </c>
      <c r="C57" s="532">
        <f t="shared" si="16"/>
        <v>0</v>
      </c>
      <c r="D57" s="2396">
        <v>0.25</v>
      </c>
      <c r="E57" s="593">
        <f>'数据-汇总表'!E12</f>
        <v>0</v>
      </c>
      <c r="F57" s="1100" t="e">
        <f t="shared" si="15"/>
        <v>#DIV/0!</v>
      </c>
      <c r="G57" s="2194" t="s">
        <v>139</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499</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500</v>
      </c>
      <c r="B59" s="594" t="e">
        <f t="shared" si="17"/>
        <v>#DIV/0!</v>
      </c>
      <c r="C59" s="532">
        <f t="shared" si="16"/>
        <v>0.2</v>
      </c>
      <c r="D59" s="2396">
        <v>0.25</v>
      </c>
      <c r="E59" s="593">
        <f>'数据-汇总表'!E14</f>
        <v>0</v>
      </c>
      <c r="F59" s="1100" t="e">
        <f t="shared" si="15"/>
        <v>#DIV/0!</v>
      </c>
      <c r="G59" s="2200" t="s">
        <v>2320</v>
      </c>
      <c r="H59" s="2188" t="str">
        <f>项目基本情况!B37</f>
        <v>四级</v>
      </c>
      <c r="I59" s="1775">
        <f>SUMIF(修正!A45:A56,H59,修正!H45:H56)</f>
        <v>0.2</v>
      </c>
      <c r="J59" s="1776"/>
      <c r="K59" s="2364"/>
      <c r="L59" s="1774"/>
      <c r="M59" s="1774"/>
      <c r="N59" s="1774"/>
      <c r="O59" s="1774"/>
    </row>
    <row r="60" spans="1:17" s="1101" customFormat="1" ht="15" thickBot="1">
      <c r="A60" s="1102" t="s">
        <v>501</v>
      </c>
      <c r="B60" s="594" t="e">
        <f t="shared" si="17"/>
        <v>#DIV/0!</v>
      </c>
      <c r="C60" s="532">
        <f t="shared" si="16"/>
        <v>0</v>
      </c>
      <c r="D60" s="2396">
        <v>0.25</v>
      </c>
      <c r="E60" s="593">
        <f>'数据-汇总表'!E15</f>
        <v>0</v>
      </c>
      <c r="F60" s="1100" t="e">
        <f t="shared" si="15"/>
        <v>#DIV/0!</v>
      </c>
      <c r="G60" s="2201" t="s">
        <v>2319</v>
      </c>
      <c r="H60" s="2202">
        <f>项目基本情况!C37</f>
        <v>0</v>
      </c>
      <c r="I60" s="1775">
        <f>SUMIF(修正!A45:A56,H60,修正!H45:H56)</f>
        <v>0</v>
      </c>
      <c r="J60" s="1776"/>
      <c r="K60" s="2363"/>
      <c r="L60" s="1774"/>
      <c r="M60" s="1774"/>
      <c r="N60" s="1774"/>
      <c r="O60" s="1774"/>
    </row>
    <row r="61" spans="1:17" s="1101" customFormat="1" ht="15" thickBot="1">
      <c r="A61" s="1104" t="s">
        <v>502</v>
      </c>
      <c r="B61" s="1105" t="s">
        <v>154</v>
      </c>
      <c r="C61" s="1105" t="s">
        <v>155</v>
      </c>
      <c r="D61" s="1105" t="s">
        <v>2325</v>
      </c>
      <c r="E61" s="1105">
        <f>IF(B41="楼面地价",SUM(E51:E60),'数据-汇总表'!D3)</f>
        <v>0</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2789</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2788</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91</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157</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90</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107</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152</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2667</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142</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151</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406</v>
      </c>
      <c r="B107" s="286" t="s">
        <v>85</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84</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2502</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83</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27" sqref="C127:F132"/>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1796</v>
      </c>
      <c r="B1" s="1474"/>
      <c r="C1" s="86" t="s">
        <v>2503</v>
      </c>
      <c r="D1" s="1739">
        <f>SUM(D29:D30,D33:D39)</f>
        <v>0</v>
      </c>
      <c r="E1" s="1624"/>
      <c r="F1" s="1624"/>
      <c r="G1" s="1624"/>
      <c r="H1" s="1624"/>
      <c r="I1" s="1624"/>
      <c r="J1" s="1624"/>
      <c r="K1" s="2383"/>
      <c r="L1" s="1885" t="s">
        <v>1228</v>
      </c>
      <c r="M1" s="2138">
        <f>SUMPRODUCT((区片价!B5:B9=I2)*(区片价!C3:F3=E2)*(区片价!C5:F9))</f>
        <v>0</v>
      </c>
      <c r="N1" s="2141">
        <f>SUMPRODUCT((因素修正幅度!B5:B9=I2)*(因素修正幅度!C3:F3=E2)*(因素修正幅度!C5:F9))</f>
        <v>0</v>
      </c>
      <c r="O1" s="2387"/>
      <c r="P1" s="2387"/>
      <c r="Q1" s="2383"/>
      <c r="R1" s="3073" t="s">
        <v>2888</v>
      </c>
      <c r="S1" s="3073" t="s">
        <v>2889</v>
      </c>
      <c r="T1" s="3073" t="s">
        <v>2890</v>
      </c>
      <c r="U1" s="3073" t="s">
        <v>2891</v>
      </c>
      <c r="V1" s="3073" t="s">
        <v>2892</v>
      </c>
      <c r="W1" s="3074"/>
      <c r="X1" s="3074"/>
      <c r="Y1" s="3074"/>
      <c r="Z1" s="3074"/>
      <c r="AA1" s="3074"/>
      <c r="AB1" s="3074"/>
      <c r="AC1" s="3075"/>
      <c r="AD1" s="3076"/>
      <c r="AE1" s="3076"/>
      <c r="AF1" s="3076"/>
      <c r="AG1" s="3076"/>
      <c r="AH1" s="3076"/>
      <c r="AI1" s="3076"/>
      <c r="AJ1" s="3077"/>
    </row>
    <row r="2" spans="1:36" ht="15.75">
      <c r="A2" s="86" t="s">
        <v>1797</v>
      </c>
      <c r="B2" s="580" t="e">
        <f>C26</f>
        <v>#DIV/0!</v>
      </c>
      <c r="C2" s="1472" t="s">
        <v>1138</v>
      </c>
      <c r="D2" s="1629" t="s">
        <v>1798</v>
      </c>
      <c r="E2" s="1783"/>
      <c r="F2" s="1629" t="s">
        <v>1799</v>
      </c>
      <c r="G2" s="1606">
        <f>IF(E2="商业",项目基本情况!B37,IF(E2="办公",项目基本情况!C37,IF(E2="住宅",项目基本情况!D37,项目基本情况!E37)))</f>
        <v>0</v>
      </c>
      <c r="H2" s="1629" t="s">
        <v>1800</v>
      </c>
      <c r="I2" s="1606">
        <f>IF(E2="商业",项目基本情况!B38,IF(E2="办公",项目基本情况!C38,IF(E2="住宅",项目基本情况!D38,项目基本情况!E38)))</f>
        <v>0</v>
      </c>
      <c r="J2" s="1630"/>
      <c r="K2" s="2383"/>
      <c r="L2" s="1886" t="s">
        <v>1285</v>
      </c>
      <c r="M2" s="2139">
        <f>SUMPRODUCT((区片价!B10:B28=I2)*(区片价!C3:F3=E2)*(区片价!C10:F28))</f>
        <v>0</v>
      </c>
      <c r="N2" s="2141">
        <f>SUMPRODUCT((因素修正幅度!B10:B28=I2)*(因素修正幅度!C3:F3=E2)*(因素修正幅度!C10:F28))</f>
        <v>0</v>
      </c>
      <c r="O2" s="2383"/>
      <c r="P2" s="2383"/>
      <c r="Q2" s="2383"/>
      <c r="R2" s="3078">
        <v>1</v>
      </c>
      <c r="S2" s="3078" t="e">
        <f>ROUND(IF(G3&gt;1,IF(R2&lt;7,SUMPRODUCT((B93:B98=R2)*(C92:N92=G2)*(C93:N98)),SUMIF(C92:N92,G2,C100:N100)),IF(R2&lt;7,SUMPRODUCT((B102:B107=R2)*(C92:N92=G2)*(C102:N107)),SUMIF(C92:N92,G2,C109:N109))),4)</f>
        <v>#DIV/0!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1801</v>
      </c>
      <c r="B3" s="580" t="e">
        <f>ROUND(B2*10000/D1,0)</f>
        <v>#DIV/0!</v>
      </c>
      <c r="C3" s="1472" t="s">
        <v>1802</v>
      </c>
      <c r="D3" s="1629" t="s">
        <v>1141</v>
      </c>
      <c r="E3" s="1784"/>
      <c r="F3" s="1785" t="s">
        <v>3022</v>
      </c>
      <c r="G3" s="1631" t="e">
        <f>IF(F3="宗地容积率",'数据-汇总表'!I4,IF(F3="估价对象容积率",'数据-汇总表'!I6,'数据-汇总表'!I7))</f>
        <v>#DIV/0!</v>
      </c>
      <c r="H3" s="1632" t="s">
        <v>1142</v>
      </c>
      <c r="I3" s="1786"/>
      <c r="J3" s="1630" t="s">
        <v>1143</v>
      </c>
      <c r="K3" s="2383"/>
      <c r="L3" s="1886" t="s">
        <v>1458</v>
      </c>
      <c r="M3" s="2139">
        <f>SUMPRODUCT((区片价!B29:B48=I2)*(区片价!C3:F3=E2)*(区片价!C29:F48))</f>
        <v>0</v>
      </c>
      <c r="N3" s="2141">
        <f>SUMPRODUCT((因素修正幅度!B29:B48=I2)*(因素修正幅度!C3:F3=E2)*(因素修正幅度!C29:F48))</f>
        <v>0</v>
      </c>
      <c r="O3" s="2383"/>
      <c r="P3" s="2383"/>
      <c r="Q3" s="2383"/>
      <c r="R3" s="3078">
        <v>2</v>
      </c>
      <c r="S3" s="3078" t="e">
        <f>ROUND(IF(G3&gt;1,IF(R3&lt;7,SUMPRODUCT((B93:B98=R3)*(C92:N92=G2)*(C93:N98)),SUMIF(C92:N92,G2,C100:N100)),IF(R3&lt;7,SUMPRODUCT((B102:B107=R3)*(C92:N92=G2)*(C102:N107)),SUMIF(C92:N92,G2,C109:N109))),4)</f>
        <v>#DIV/0!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76"/>
      <c r="B4" s="3777"/>
      <c r="C4" s="3777"/>
      <c r="D4" s="3778"/>
      <c r="E4" s="3778"/>
      <c r="F4" s="3778"/>
      <c r="G4" s="3778"/>
      <c r="H4" s="3778"/>
      <c r="I4" s="3778"/>
      <c r="J4" s="3779"/>
      <c r="K4" s="2383"/>
      <c r="L4" s="1886" t="s">
        <v>1139</v>
      </c>
      <c r="M4" s="2139">
        <f>SUMPRODUCT((区片价!B49:B75=I2)*(区片价!C3:F3=E2)*(区片价!C49:F75))</f>
        <v>0</v>
      </c>
      <c r="N4" s="2141">
        <f>SUMPRODUCT((因素修正幅度!B49:B75=I2)*(因素修正幅度!C3:F3=E2)*(因素修正幅度!C49:F75))</f>
        <v>0</v>
      </c>
      <c r="O4" s="2383"/>
      <c r="P4" s="2383"/>
      <c r="Q4" s="2383"/>
      <c r="R4" s="3078">
        <v>3</v>
      </c>
      <c r="S4" s="3078" t="e">
        <f>ROUND(IF(G3&gt;1,IF(R4&lt;7,SUMPRODUCT((B93:B98=R4)*(C92:N92=G2)*(C93:N98)),SUMIF(C92:N92,G2,C100:N100)),IF(R4&lt;7,SUMPRODUCT((B102:B107=R4)*(C92:N92=G2)*(C102:N107)),SUMIF(C92:N92,G2,C109:N109))),4)</f>
        <v>#DIV/0!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1939</v>
      </c>
      <c r="B5" s="1633" t="s">
        <v>1803</v>
      </c>
      <c r="C5" s="1634" t="e">
        <f>ROUND(IF(E2="商业",IF(F16="增加",C6*C7+C16,C6*C7-C16),IF(E2="住宅",IF(F16="增加",C6*C12+C16,C6*C12-C16),IF(F16="增加",C6+C16,C6-C16))),0)</f>
        <v>#DIV/0!</v>
      </c>
      <c r="D5" s="3348">
        <f>ROUND(IF(E2="商业",IF(F16="增加",C6+C16,C6-C16)),0)</f>
        <v>0</v>
      </c>
      <c r="E5" s="1635"/>
      <c r="F5" s="1635"/>
      <c r="G5" s="1636"/>
      <c r="H5" s="1636"/>
      <c r="I5" s="1636"/>
      <c r="J5" s="1637"/>
      <c r="K5" s="2388"/>
      <c r="L5" s="1886" t="s">
        <v>1539</v>
      </c>
      <c r="M5" s="2139">
        <f>SUMPRODUCT((区片价!B76:B109=I2)*(区片价!C3:F3=E2)*(区片价!C76:F109))</f>
        <v>0</v>
      </c>
      <c r="N5" s="2141">
        <f>SUMPRODUCT((因素修正幅度!B76:B109=I2)*(因素修正幅度!C3:F3=E2)*(因素修正幅度!C76:F109))</f>
        <v>0</v>
      </c>
      <c r="O5" s="2383"/>
      <c r="P5" s="2383"/>
      <c r="Q5" s="2383"/>
      <c r="R5" s="3078">
        <v>4</v>
      </c>
      <c r="S5" s="3078" t="e">
        <f>ROUND(IF(G3&gt;1,IF(R5&lt;7,SUMPRODUCT((B93:B98=R5)*(C92:N92=G2)*(C93:N98)),SUMIF(C92:N92,G2,C100:N100)),IF(R5&lt;7,SUMPRODUCT((B102:B107=R5)*(C92:N92=G2)*(C102:N107)),SUMIF(C92:N92,G2,C109:N109))),4)</f>
        <v>#DIV/0!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1946</v>
      </c>
      <c r="B6" s="1640" t="s">
        <v>1803</v>
      </c>
      <c r="C6" s="1641">
        <f>SUMIF(L1:L12,G2,M1:M12)</f>
        <v>0</v>
      </c>
      <c r="D6" s="1642" t="s">
        <v>1804</v>
      </c>
      <c r="E6" s="1643"/>
      <c r="F6" s="1643"/>
      <c r="G6" s="1644"/>
      <c r="H6" s="1644"/>
      <c r="I6" s="1644"/>
      <c r="J6" s="1645"/>
      <c r="K6" s="2389"/>
      <c r="L6" s="1886" t="s">
        <v>201</v>
      </c>
      <c r="M6" s="2139">
        <f>SUMPRODUCT((区片价!B110:B157=I2)*(区片价!C3:F3=E2)*(区片价!C110:F157))</f>
        <v>0</v>
      </c>
      <c r="N6" s="2141">
        <f>SUMPRODUCT((因素修正幅度!B110:B157=I2)*(因素修正幅度!C3:F3=E2)*(因素修正幅度!C110:F157))</f>
        <v>0</v>
      </c>
      <c r="O6" s="2383"/>
      <c r="P6" s="2383"/>
      <c r="Q6" s="2383"/>
      <c r="R6" s="3078">
        <v>5</v>
      </c>
      <c r="S6" s="3078" t="e">
        <f>ROUND(IF(G3&gt;1,IF(R6&lt;7,SUMPRODUCT((B93:B98=R6)*(C92:N92=G2)*(C93:N98)),SUMIF(C92:N92,G2,C100:N100)),IF(R6&lt;7,SUMPRODUCT((B102:B107=R6)*(C92:N92=G2)*(C102:N107)),SUMIF(C92:N92,G2,C109:N109))),4)</f>
        <v>#DIV/0!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80" t="str">
        <f>IF(E2="商业",IF(C8="不临58条商业街","",2),"")</f>
        <v/>
      </c>
      <c r="B7" s="1646" t="s">
        <v>1805</v>
      </c>
      <c r="C7" s="1647" t="e">
        <f>IF(C8="不临58条商业街",1,ROUND(1+(1.6*E8+1.2*E9+0.8*E10+0.4*E11)*C9,4))</f>
        <v>#DIV/0!</v>
      </c>
      <c r="D7" s="1648" t="s">
        <v>1806</v>
      </c>
      <c r="E7" s="1787"/>
      <c r="F7" s="1649"/>
      <c r="G7" s="1650"/>
      <c r="H7" s="1650"/>
      <c r="I7" s="1650"/>
      <c r="J7" s="1651"/>
      <c r="K7" s="2389"/>
      <c r="L7" s="1886" t="s">
        <v>1542</v>
      </c>
      <c r="M7" s="2139">
        <f>SUMPRODUCT((区片价!B158:B205=I2)*(区片价!C3:F3=E2)*(区片价!C158:F205))</f>
        <v>0</v>
      </c>
      <c r="N7" s="2141">
        <f>SUMPRODUCT((因素修正幅度!B158:B205=I2)*(因素修正幅度!C3:F3=E2)*(因素修正幅度!C158:F205))</f>
        <v>0</v>
      </c>
      <c r="O7" s="2383"/>
      <c r="P7" s="2383"/>
      <c r="Q7" s="2383"/>
      <c r="R7" s="3078">
        <v>6</v>
      </c>
      <c r="S7" s="3078" t="e">
        <f>ROUND(IF(G3&gt;1,IF(R7&lt;7,SUMPRODUCT((B93:B98=R7)*(C92:N92=G2)*(C93:N98)),SUMIF(C92:N92,G2,C100:N100)),IF(R7&lt;7,SUMPRODUCT((B102:B107=R7)*(C92:N92=G2)*(C102:N107)),SUMIF(C92:N92,G2,C109:N109))),4)</f>
        <v>#DIV/0!</v>
      </c>
      <c r="T7" s="3078" t="e">
        <f t="shared" si="0"/>
        <v>#DIV/0!</v>
      </c>
      <c r="U7" s="3079"/>
      <c r="V7" s="3078" t="e">
        <f t="shared" si="1"/>
        <v>#DIV/0!</v>
      </c>
      <c r="W7" s="3083" t="s">
        <v>2893</v>
      </c>
      <c r="X7" s="3084">
        <f>G2</f>
        <v>0</v>
      </c>
      <c r="Y7" s="3084" t="s">
        <v>2894</v>
      </c>
      <c r="Z7" s="3085" t="e">
        <f>G3</f>
        <v>#DIV/0!</v>
      </c>
      <c r="AA7" s="3086"/>
      <c r="AB7" s="3086"/>
      <c r="AC7" s="3087"/>
      <c r="AD7" s="3088"/>
      <c r="AE7" s="3088"/>
      <c r="AF7" s="3088"/>
      <c r="AG7" s="3088"/>
      <c r="AH7" s="3088"/>
      <c r="AI7" s="3088"/>
      <c r="AJ7" s="3089"/>
    </row>
    <row r="8" spans="1:36" ht="15">
      <c r="A8" s="3781"/>
      <c r="B8" s="1632" t="s">
        <v>1807</v>
      </c>
      <c r="C8" s="1788"/>
      <c r="D8" s="1652" t="s">
        <v>1144</v>
      </c>
      <c r="E8" s="1653" t="e">
        <f>ROUND(C11/E7,4)</f>
        <v>#DIV/0!</v>
      </c>
      <c r="F8" s="1654" t="s">
        <v>1808</v>
      </c>
      <c r="G8" s="1655"/>
      <c r="H8" s="1655"/>
      <c r="I8" s="1655"/>
      <c r="J8" s="1656"/>
      <c r="K8" s="2383"/>
      <c r="L8" s="1886" t="s">
        <v>1544</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73" t="s">
        <v>2895</v>
      </c>
      <c r="X8" s="3774"/>
      <c r="Y8" s="3090" t="s">
        <v>163</v>
      </c>
      <c r="Z8" s="3090" t="s">
        <v>164</v>
      </c>
      <c r="AA8" s="3090" t="s">
        <v>159</v>
      </c>
      <c r="AB8" s="3090" t="s">
        <v>160</v>
      </c>
      <c r="AC8" s="3090" t="s">
        <v>161</v>
      </c>
      <c r="AD8" s="3090" t="s">
        <v>162</v>
      </c>
      <c r="AE8" s="3090" t="s">
        <v>1179</v>
      </c>
      <c r="AF8" s="3090" t="s">
        <v>1180</v>
      </c>
      <c r="AG8" s="3090" t="s">
        <v>1181</v>
      </c>
      <c r="AH8" s="3090" t="s">
        <v>1182</v>
      </c>
      <c r="AI8" s="3090" t="s">
        <v>1183</v>
      </c>
      <c r="AJ8" s="3090" t="s">
        <v>1184</v>
      </c>
    </row>
    <row r="9" spans="1:36" ht="15">
      <c r="A9" s="3781"/>
      <c r="B9" s="1632" t="s">
        <v>1809</v>
      </c>
      <c r="C9" s="1657">
        <f>SUMIF(修正!C59:C119,C8,修正!E59:E119)</f>
        <v>0</v>
      </c>
      <c r="D9" s="532" t="s">
        <v>1145</v>
      </c>
      <c r="E9" s="532" t="e">
        <f>ROUND(C11/E7,4)</f>
        <v>#DIV/0!</v>
      </c>
      <c r="F9" s="1654" t="s">
        <v>1810</v>
      </c>
      <c r="G9" s="1655"/>
      <c r="H9" s="1655"/>
      <c r="I9" s="1655"/>
      <c r="J9" s="1656"/>
      <c r="K9" s="2383"/>
      <c r="L9" s="1886" t="s">
        <v>1546</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75" t="s">
        <v>2896</v>
      </c>
      <c r="X9" s="3091" t="s">
        <v>1766</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81"/>
      <c r="B10" s="1632" t="s">
        <v>1811</v>
      </c>
      <c r="C10" s="532">
        <f>SUMIF(修正!C59:C119,C8,修正!F59:F119)</f>
        <v>0</v>
      </c>
      <c r="D10" s="532" t="s">
        <v>1146</v>
      </c>
      <c r="E10" s="532" t="e">
        <f>ROUND(C11/E7,4)</f>
        <v>#DIV/0!</v>
      </c>
      <c r="F10" s="1654" t="s">
        <v>1812</v>
      </c>
      <c r="G10" s="1655"/>
      <c r="H10" s="1655"/>
      <c r="I10" s="1655"/>
      <c r="J10" s="1656"/>
      <c r="K10" s="2383"/>
      <c r="L10" s="1886" t="s">
        <v>1550</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7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81"/>
      <c r="B11" s="1658" t="s">
        <v>1813</v>
      </c>
      <c r="C11" s="1659">
        <f>C10/4</f>
        <v>0</v>
      </c>
      <c r="D11" s="1659" t="s">
        <v>1147</v>
      </c>
      <c r="E11" s="1659" t="e">
        <f>ROUND(C11/E7,4)</f>
        <v>#DIV/0!</v>
      </c>
      <c r="F11" s="1660" t="s">
        <v>1814</v>
      </c>
      <c r="G11" s="1661"/>
      <c r="H11" s="1661"/>
      <c r="I11" s="1661"/>
      <c r="J11" s="1662"/>
      <c r="K11" s="2383"/>
      <c r="L11" s="1886" t="s">
        <v>1949</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75" t="s">
        <v>2897</v>
      </c>
      <c r="X11" s="3094" t="s">
        <v>2894</v>
      </c>
      <c r="Y11" s="3095" t="e">
        <f>$G$3</f>
        <v>#DIV/0!</v>
      </c>
      <c r="Z11" s="3095" t="e">
        <f t="shared" ref="Z11:AJ11" si="3">$G$3</f>
        <v>#DIV/0!</v>
      </c>
      <c r="AA11" s="3095" t="e">
        <f t="shared" si="3"/>
        <v>#DIV/0!</v>
      </c>
      <c r="AB11" s="3095" t="e">
        <f t="shared" si="3"/>
        <v>#DIV/0!</v>
      </c>
      <c r="AC11" s="3095" t="e">
        <f t="shared" si="3"/>
        <v>#DIV/0!</v>
      </c>
      <c r="AD11" s="3095" t="e">
        <f t="shared" si="3"/>
        <v>#DIV/0!</v>
      </c>
      <c r="AE11" s="3095" t="e">
        <f t="shared" si="3"/>
        <v>#DIV/0!</v>
      </c>
      <c r="AF11" s="3095" t="e">
        <f t="shared" si="3"/>
        <v>#DIV/0!</v>
      </c>
      <c r="AG11" s="3095" t="e">
        <f t="shared" si="3"/>
        <v>#DIV/0!</v>
      </c>
      <c r="AH11" s="3095" t="e">
        <f t="shared" si="3"/>
        <v>#DIV/0!</v>
      </c>
      <c r="AI11" s="3095" t="e">
        <f t="shared" si="3"/>
        <v>#DIV/0!</v>
      </c>
      <c r="AJ11" s="3095" t="e">
        <f t="shared" si="3"/>
        <v>#DIV/0!</v>
      </c>
    </row>
    <row r="12" spans="1:36" ht="26.25" thickBot="1">
      <c r="A12" s="3780" t="s">
        <v>1947</v>
      </c>
      <c r="B12" s="1663" t="s">
        <v>1815</v>
      </c>
      <c r="C12" s="1647">
        <f>ROUND(C15*D15*E15*F15*G15*H15*I15*J15,4)</f>
        <v>1</v>
      </c>
      <c r="D12" s="1664" t="s">
        <v>1816</v>
      </c>
      <c r="E12" s="1665"/>
      <c r="F12" s="1665"/>
      <c r="G12" s="1666"/>
      <c r="H12" s="1666"/>
      <c r="I12" s="1666"/>
      <c r="J12" s="1667"/>
      <c r="K12" s="2383"/>
      <c r="L12" s="1887" t="s">
        <v>1950</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75"/>
      <c r="X12" s="3096" t="s">
        <v>1769</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82"/>
      <c r="B13" s="1668" t="s">
        <v>1817</v>
      </c>
      <c r="C13" s="1669" t="s">
        <v>1818</v>
      </c>
      <c r="D13" s="1670" t="s">
        <v>1819</v>
      </c>
      <c r="E13" s="1670" t="s">
        <v>1820</v>
      </c>
      <c r="F13" s="81" t="s">
        <v>1148</v>
      </c>
      <c r="G13" s="1789" t="s">
        <v>1871</v>
      </c>
      <c r="H13" s="1789" t="s">
        <v>1871</v>
      </c>
      <c r="I13" s="1789" t="s">
        <v>1871</v>
      </c>
      <c r="J13" s="1790" t="s">
        <v>1871</v>
      </c>
      <c r="K13" s="2383"/>
      <c r="L13" s="2383"/>
      <c r="M13" s="2383"/>
      <c r="N13" s="2383"/>
      <c r="O13" s="2383"/>
      <c r="P13" s="2383"/>
      <c r="Q13" s="2383"/>
      <c r="R13" s="3078">
        <v>12</v>
      </c>
      <c r="S13" s="3079"/>
      <c r="T13" s="3078" t="e">
        <f t="shared" si="0"/>
        <v>#DIV/0!</v>
      </c>
      <c r="U13" s="3079"/>
      <c r="V13" s="3078" t="e">
        <f t="shared" si="1"/>
        <v>#DIV/0!</v>
      </c>
      <c r="W13" s="3775"/>
      <c r="X13" s="3096"/>
      <c r="Y13" s="3093" t="e">
        <f>(-0.163*(Y12^2)-0.59*Y12+7617)*(10^(-4))/Y11</f>
        <v>#DIV/0!</v>
      </c>
      <c r="Z13" s="3093" t="e">
        <f t="shared" ref="Z13:AJ13" si="5">(-0.163*(Z12^2)-0.59*Z12+7617)*(10^(-4))/Z11</f>
        <v>#DIV/0!</v>
      </c>
      <c r="AA13" s="3093" t="e">
        <f t="shared" si="5"/>
        <v>#DIV/0!</v>
      </c>
      <c r="AB13" s="3093" t="e">
        <f t="shared" si="5"/>
        <v>#DIV/0!</v>
      </c>
      <c r="AC13" s="3093" t="e">
        <f t="shared" si="5"/>
        <v>#DIV/0!</v>
      </c>
      <c r="AD13" s="3093" t="e">
        <f t="shared" si="5"/>
        <v>#DIV/0!</v>
      </c>
      <c r="AE13" s="3093" t="e">
        <f t="shared" si="5"/>
        <v>#DIV/0!</v>
      </c>
      <c r="AF13" s="3093" t="e">
        <f t="shared" si="5"/>
        <v>#DIV/0!</v>
      </c>
      <c r="AG13" s="3093" t="e">
        <f t="shared" si="5"/>
        <v>#DIV/0!</v>
      </c>
      <c r="AH13" s="3093" t="e">
        <f t="shared" si="5"/>
        <v>#DIV/0!</v>
      </c>
      <c r="AI13" s="3093" t="e">
        <f t="shared" si="5"/>
        <v>#DIV/0!</v>
      </c>
      <c r="AJ13" s="3093" t="e">
        <f t="shared" si="5"/>
        <v>#DIV/0!</v>
      </c>
    </row>
    <row r="14" spans="1:36" ht="15">
      <c r="A14" s="3782"/>
      <c r="B14" s="1671"/>
      <c r="C14" s="1791"/>
      <c r="D14" s="1488"/>
      <c r="E14" s="1488"/>
      <c r="F14" s="1792"/>
      <c r="G14" s="1672" t="s">
        <v>1848</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83"/>
      <c r="B15" s="1676" t="s">
        <v>1821</v>
      </c>
      <c r="C15" s="561">
        <f>IF(C14="有",1.1,1)</f>
        <v>1</v>
      </c>
      <c r="D15" s="561">
        <f>IF(D14="有",1.1,1)</f>
        <v>1</v>
      </c>
      <c r="E15" s="561">
        <f>IF(E14="有",1.1,1)</f>
        <v>1</v>
      </c>
      <c r="F15" s="561">
        <f>IF(F14="500米范围内",1.2,IF(F14="500-1000米",1.1,1))</f>
        <v>1</v>
      </c>
      <c r="G15" s="1793">
        <v>1</v>
      </c>
      <c r="H15" s="1793">
        <v>1</v>
      </c>
      <c r="I15" s="1793">
        <v>1</v>
      </c>
      <c r="J15" s="1794">
        <v>1</v>
      </c>
      <c r="K15" s="2383"/>
      <c r="L15" s="1707" t="s">
        <v>1837</v>
      </c>
      <c r="M15" s="1708" t="s">
        <v>1838</v>
      </c>
      <c r="N15" s="1708" t="s">
        <v>1839</v>
      </c>
      <c r="O15" s="1708" t="s">
        <v>979</v>
      </c>
      <c r="P15" s="1709" t="s">
        <v>1840</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80" t="s">
        <v>1948</v>
      </c>
      <c r="B16" s="1646" t="s">
        <v>1822</v>
      </c>
      <c r="C16" s="1779" t="e">
        <f>ROUND(SUM(G17:J17)/C17,0)</f>
        <v>#DIV/0!</v>
      </c>
      <c r="D16" s="1677" t="s">
        <v>1823</v>
      </c>
      <c r="E16" s="1795"/>
      <c r="F16" s="1796"/>
      <c r="G16" s="1797"/>
      <c r="H16" s="1797"/>
      <c r="I16" s="1797"/>
      <c r="J16" s="1798"/>
      <c r="K16" s="2383"/>
      <c r="L16" s="1713" t="s">
        <v>1842</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81"/>
      <c r="B17" s="1678" t="s">
        <v>1824</v>
      </c>
      <c r="C17" s="1679">
        <f>SUMPRODUCT((修正!A2:A5=E2)*(修正!B1:M1=G2)*(修正!B2:M5))</f>
        <v>0</v>
      </c>
      <c r="D17" s="1680" t="s">
        <v>1825</v>
      </c>
      <c r="E17" s="1750" t="str">
        <f>IF(OR(G2="八级",G2="九级",G2="十级",G2="十一级",G2="十二级"),"五通一平","七通一平")</f>
        <v>七通一平</v>
      </c>
      <c r="F17" s="1681" t="s">
        <v>1826</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1831</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1940</v>
      </c>
      <c r="B18" s="1683" t="s">
        <v>1827</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1941</v>
      </c>
      <c r="B19" s="1683" t="s">
        <v>1828</v>
      </c>
      <c r="C19" s="1692" t="e">
        <f>ROUND(IF(H19="按公示增长率计算",SUMPRODUCT((地价!A3:A19=YEAR(G19)&amp;"-"&amp;ROUNDUP(MONTH(G19)/3,0))*(地价!X2:AB2=E2)*(地价!X3:AB19)),IF(H19="地价指数",M20/M19,(1+I19)^O19)),4)</f>
        <v>#DIV/0!</v>
      </c>
      <c r="D19" s="1693" t="s">
        <v>1149</v>
      </c>
      <c r="E19" s="1694">
        <v>41640</v>
      </c>
      <c r="F19" s="1693" t="s">
        <v>1150</v>
      </c>
      <c r="G19" s="1695">
        <f>'数据-取费表'!B2</f>
        <v>42997</v>
      </c>
      <c r="H19" s="3020" t="s">
        <v>2956</v>
      </c>
      <c r="I19" s="1696" t="str">
        <f>IF(H19="季度增幅（自定义）",SUMIF(N21:N24,E2,O21:O24),"")</f>
        <v/>
      </c>
      <c r="J19" s="1689"/>
      <c r="K19" s="2390"/>
      <c r="L19" s="3246" t="s">
        <v>2954</v>
      </c>
      <c r="M19" s="3248">
        <f>ROUND(SUMIF(地价!B2:F2,E2,地价!B19:F19),0)</f>
        <v>0</v>
      </c>
      <c r="N19" s="3244" t="s">
        <v>1873</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1942</v>
      </c>
      <c r="B20" s="1752" t="s">
        <v>1829</v>
      </c>
      <c r="C20" s="1699" t="e">
        <f>ROUND(POWER(1+G20,J20-I20)*(POWER(1+G20,I20)-1)/(POWER(1+G20,J20)-1),4)</f>
        <v>#DIV/0!</v>
      </c>
      <c r="D20" s="1753" t="s">
        <v>1830</v>
      </c>
      <c r="E20" s="3303">
        <f ca="1">存贷款利率!D4/100</f>
        <v>4.3499999999999997E-2</v>
      </c>
      <c r="F20" s="1753" t="s">
        <v>1831</v>
      </c>
      <c r="G20" s="1754">
        <f>SUMIF(M15:P15,E2,M17:P17)</f>
        <v>0</v>
      </c>
      <c r="H20" s="1753" t="s">
        <v>1832</v>
      </c>
      <c r="I20" s="1755" t="e">
        <f>SUMIF('数据-取费表'!C6:C15,E2,'数据-取费表'!F6:F15)/COUNTIF('数据-取费表'!C6:C15,E2)</f>
        <v>#DIV/0!</v>
      </c>
      <c r="J20" s="1756">
        <f>IF(E2="住宅",70,IF(E2="商业",40,50))</f>
        <v>50</v>
      </c>
      <c r="K20" s="2390"/>
      <c r="L20" s="3247" t="s">
        <v>2955</v>
      </c>
      <c r="M20" s="3249">
        <f>ROUND(SUMPRODUCT((地价!A4:A19=YEAR(G19)&amp;"-"&amp;ROUNDUP(MONTH(G19)/3,0))*(地价!B2:F2=E2)*(地价!B4:F19)),0)</f>
        <v>0</v>
      </c>
      <c r="N20" s="3245" t="s">
        <v>2783</v>
      </c>
      <c r="O20" s="3021" t="s">
        <v>2784</v>
      </c>
      <c r="P20" s="3022" t="s">
        <v>2793</v>
      </c>
      <c r="R20" s="2740"/>
      <c r="S20" s="2740"/>
      <c r="T20" s="2735"/>
      <c r="U20" s="2735"/>
      <c r="V20" s="2735"/>
      <c r="W20" s="2734"/>
      <c r="X20" s="2734"/>
      <c r="Y20" s="2734"/>
      <c r="Z20" s="2741"/>
      <c r="AA20" s="2742"/>
      <c r="AB20" s="2742"/>
      <c r="AC20" s="2742"/>
      <c r="AD20" s="2742"/>
      <c r="AE20" s="1690"/>
      <c r="AF20" s="1690"/>
    </row>
    <row r="21" spans="1:37" s="1639" customFormat="1" ht="14.25">
      <c r="A21" s="1882" t="s">
        <v>1943</v>
      </c>
      <c r="B21" s="1799" t="s">
        <v>2497</v>
      </c>
      <c r="C21" s="1757" t="e">
        <f>IF(B21="容积率修正",IF(G3&lt;=10,D22,J22),C23)</f>
        <v>#DIV/0!</v>
      </c>
      <c r="D21" s="1758"/>
      <c r="E21" s="1758"/>
      <c r="F21" s="1758"/>
      <c r="G21" s="1758"/>
      <c r="H21" s="1758"/>
      <c r="I21" s="1758"/>
      <c r="J21" s="1759"/>
      <c r="K21" s="2390"/>
      <c r="N21" s="3023" t="s">
        <v>2785</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1946</v>
      </c>
      <c r="B22" s="1701" t="s">
        <v>1833</v>
      </c>
      <c r="C22" s="1780" t="s">
        <v>1846</v>
      </c>
      <c r="D22" s="1780" t="e">
        <f>IF(E22=G22,F22,IF(G3&lt;=10,ROUND(F22+(H22-F22)*(G3-E22)/(G22-E22),4),"——"))</f>
        <v>#DIV/0!</v>
      </c>
      <c r="E22" s="1631" t="e">
        <f>ROUNDDOWN(G3,1)</f>
        <v>#DIV/0!</v>
      </c>
      <c r="F22" s="178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1" t="e">
        <f>ROUNDUP(G3,1)</f>
        <v>#DIV/0!</v>
      </c>
      <c r="H22" s="178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0" t="s">
        <v>1163</v>
      </c>
      <c r="J22" s="1760" t="e">
        <f>IF(G3&gt;10,D113,"——")</f>
        <v>#DIV/0!</v>
      </c>
      <c r="K22" s="2390"/>
      <c r="N22" s="3023" t="s">
        <v>2786</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1947</v>
      </c>
      <c r="B23" s="1872" t="s">
        <v>1834</v>
      </c>
      <c r="C23" s="1873" t="e">
        <f>ROUND(IF(G3&gt;1,IF(I3&lt;7,SUMPRODUCT((B93:B98=I3)*(C92:N92=G2)*(C93:N98)),SUMIF(C92:N92,G2,C100:N100)),IF(I3&lt;7,SUMPRODUCT((B102:B107=I3)*(C92:N92=G2)*(C102:N107)),SUMIF(C92:N92,G2,C109:N109))),4)</f>
        <v>#DIV/0!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1944</v>
      </c>
      <c r="B24" s="1683" t="s">
        <v>1835</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1945</v>
      </c>
      <c r="B25" s="1704" t="s">
        <v>1836</v>
      </c>
      <c r="C25" s="1705"/>
      <c r="D25" s="1650"/>
      <c r="E25" s="1650"/>
      <c r="F25" s="1706"/>
      <c r="G25" s="1650"/>
      <c r="H25" s="1650"/>
      <c r="I25" s="1650"/>
      <c r="J25" s="1651"/>
      <c r="K25" s="2383"/>
      <c r="N25" s="3030" t="s">
        <v>2787</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1867</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1868</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1866</v>
      </c>
      <c r="C28" s="1722" t="s">
        <v>1841</v>
      </c>
      <c r="D28" s="1722" t="s">
        <v>1857</v>
      </c>
      <c r="E28" s="1723" t="s">
        <v>1858</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1861</v>
      </c>
      <c r="C29" s="538" t="e">
        <f>ROUND(C5*C18*C19*C20*C21*C24,0)</f>
        <v>#DIV/0!</v>
      </c>
      <c r="D29" s="1748"/>
      <c r="E29" s="1782" t="e">
        <f>ROUND(C29*D29/10000,0)</f>
        <v>#DIV/0!</v>
      </c>
      <c r="F29" s="1726" t="s">
        <v>1843</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1862</v>
      </c>
      <c r="C30" s="561" t="e">
        <f>ROUND(IF(E2="工业",C29*M39,C29*M38),0)</f>
        <v>#DIV/0!</v>
      </c>
      <c r="D30" s="1749"/>
      <c r="E30" s="1782" t="e">
        <f>ROUND(C30*D30/10000,0)</f>
        <v>#DIV/0!</v>
      </c>
      <c r="F30" s="1731" t="s">
        <v>1859</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1863</v>
      </c>
      <c r="C31" s="1736" t="s">
        <v>1864</v>
      </c>
      <c r="D31" s="1666"/>
      <c r="E31" s="1736"/>
      <c r="F31" s="1736"/>
      <c r="G31" s="1664" t="s">
        <v>1865</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1841</v>
      </c>
      <c r="D32" s="168" t="s">
        <v>1857</v>
      </c>
      <c r="E32" s="168" t="s">
        <v>1858</v>
      </c>
      <c r="F32" s="1739" t="s">
        <v>1845</v>
      </c>
      <c r="G32" s="1700" t="s">
        <v>1841</v>
      </c>
      <c r="H32" s="1700" t="s">
        <v>1857</v>
      </c>
      <c r="I32" s="1700" t="s">
        <v>1858</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92" t="s">
        <v>3062</v>
      </c>
      <c r="B33" s="1742" t="s">
        <v>1165</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93"/>
      <c r="B34" s="1669" t="s">
        <v>1166</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93"/>
      <c r="B35" s="1669" t="s">
        <v>1167</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94"/>
      <c r="B36" s="1669" t="s">
        <v>1168</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1169</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1860</v>
      </c>
      <c r="M37" s="2392"/>
      <c r="N37" s="2383"/>
      <c r="O37" s="2383"/>
      <c r="P37" s="2383"/>
      <c r="Q37" s="2383"/>
      <c r="R37" s="2383"/>
      <c r="S37" s="2383"/>
      <c r="T37" s="2383"/>
      <c r="U37" s="2383"/>
      <c r="V37" s="2383"/>
      <c r="W37" s="2383"/>
      <c r="X37" s="2383"/>
      <c r="Y37" s="2383"/>
      <c r="Z37" s="2384"/>
    </row>
    <row r="38" spans="1:37" ht="12.75">
      <c r="A38" s="1741"/>
      <c r="B38" s="1669" t="s">
        <v>1170</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1844</v>
      </c>
      <c r="M38" s="1764">
        <v>0.25</v>
      </c>
      <c r="N38" s="2383"/>
      <c r="O38" s="2383"/>
      <c r="P38" s="2383"/>
      <c r="Q38" s="2383"/>
      <c r="R38" s="2383"/>
      <c r="S38" s="2383"/>
      <c r="T38" s="2383"/>
      <c r="U38" s="2383"/>
      <c r="V38" s="2383"/>
      <c r="W38" s="2383"/>
      <c r="X38" s="2383"/>
      <c r="Y38" s="2383"/>
      <c r="Z38" s="2384"/>
    </row>
    <row r="39" spans="1:37" ht="13.5" thickBot="1">
      <c r="A39" s="1729"/>
      <c r="B39" s="1744" t="s">
        <v>1171</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1840</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1780</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1781</v>
      </c>
      <c r="B47" s="1499" t="s">
        <v>1782</v>
      </c>
      <c r="C47" s="1500" t="s">
        <v>1783</v>
      </c>
      <c r="D47" s="1501" t="s">
        <v>1854</v>
      </c>
      <c r="E47" s="1502" t="s">
        <v>1856</v>
      </c>
      <c r="F47" s="2605" t="s">
        <v>2495</v>
      </c>
      <c r="G47" s="1501" t="s">
        <v>1852</v>
      </c>
      <c r="H47" s="2606" t="s">
        <v>2496</v>
      </c>
      <c r="I47" s="1501" t="s">
        <v>1855</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c r="A48" s="1498" t="s">
        <v>1784</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90</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107</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1785</v>
      </c>
      <c r="B51" s="3306" t="s">
        <v>3024</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1786</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1787</v>
      </c>
      <c r="B53" s="3305" t="s">
        <v>3023</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1788</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1789</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1790</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1164</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1781</v>
      </c>
      <c r="B58" s="1499"/>
      <c r="C58" s="1500" t="s">
        <v>1783</v>
      </c>
      <c r="D58" s="1501" t="s">
        <v>1854</v>
      </c>
      <c r="E58" s="1502" t="s">
        <v>1856</v>
      </c>
      <c r="F58" s="2605" t="s">
        <v>2292</v>
      </c>
      <c r="G58" s="1501" t="s">
        <v>1852</v>
      </c>
      <c r="H58" s="2606" t="s">
        <v>2496</v>
      </c>
      <c r="I58" s="1501" t="s">
        <v>1855</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1095</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90</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107</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1785</v>
      </c>
      <c r="B62" s="3306" t="s">
        <v>3024</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1786</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1787</v>
      </c>
      <c r="B64" s="3305" t="s">
        <v>3023</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1788</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1789</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1790</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979</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1781</v>
      </c>
      <c r="B69" s="1499"/>
      <c r="C69" s="1500" t="s">
        <v>1783</v>
      </c>
      <c r="D69" s="1501" t="s">
        <v>1854</v>
      </c>
      <c r="E69" s="1502" t="s">
        <v>1856</v>
      </c>
      <c r="F69" s="2605" t="s">
        <v>2292</v>
      </c>
      <c r="G69" s="1501" t="s">
        <v>1852</v>
      </c>
      <c r="H69" s="2606" t="s">
        <v>2496</v>
      </c>
      <c r="I69" s="1501" t="s">
        <v>1855</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108</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90</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107</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1791</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1788</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1789</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1787</v>
      </c>
      <c r="B76" s="3305" t="s">
        <v>3023</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1790</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1792</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1106</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1781</v>
      </c>
      <c r="B80" s="1499"/>
      <c r="C80" s="1500" t="s">
        <v>1783</v>
      </c>
      <c r="D80" s="1501" t="s">
        <v>1854</v>
      </c>
      <c r="E80" s="1502" t="s">
        <v>1856</v>
      </c>
      <c r="F80" s="2605" t="s">
        <v>2292</v>
      </c>
      <c r="G80" s="1501" t="s">
        <v>1852</v>
      </c>
      <c r="H80" s="2606" t="s">
        <v>2496</v>
      </c>
      <c r="I80" s="1501" t="s">
        <v>1855</v>
      </c>
      <c r="J80" s="946" t="s">
        <v>423</v>
      </c>
      <c r="K80" s="946" t="s">
        <v>424</v>
      </c>
      <c r="L80" s="946" t="s">
        <v>425</v>
      </c>
      <c r="M80" s="946" t="s">
        <v>426</v>
      </c>
      <c r="N80" s="946" t="s">
        <v>427</v>
      </c>
      <c r="Z80" s="1628"/>
      <c r="AA80" s="1627"/>
      <c r="AG80" s="1626"/>
      <c r="AK80" s="1627"/>
    </row>
    <row r="81" spans="1:37" ht="36">
      <c r="A81" s="1498" t="s">
        <v>157</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90</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107</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1791</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1788</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1789</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1787</v>
      </c>
      <c r="B87" s="3305" t="s">
        <v>2494</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1793</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84" t="s">
        <v>1762</v>
      </c>
      <c r="B90" s="3784"/>
      <c r="C90" s="3784"/>
      <c r="D90" s="3784"/>
      <c r="E90" s="3784"/>
      <c r="F90" s="3784"/>
      <c r="G90" s="3784"/>
      <c r="H90" s="3784"/>
      <c r="I90" s="3784"/>
      <c r="J90" s="3784"/>
      <c r="K90" s="2609"/>
      <c r="L90" s="2609"/>
      <c r="M90" s="2609"/>
      <c r="N90" s="2609"/>
    </row>
    <row r="91" spans="1:37">
      <c r="A91" s="3786" t="s">
        <v>66</v>
      </c>
      <c r="B91" s="3786" t="s">
        <v>1763</v>
      </c>
      <c r="C91" s="1587" t="s">
        <v>1764</v>
      </c>
      <c r="D91" s="1588"/>
      <c r="E91" s="1588"/>
      <c r="F91" s="1588"/>
      <c r="G91" s="1588"/>
      <c r="H91" s="1588"/>
      <c r="I91" s="1588"/>
      <c r="J91" s="1589"/>
      <c r="K91" s="1577"/>
      <c r="L91" s="1577"/>
      <c r="M91" s="1577"/>
      <c r="N91" s="1577"/>
    </row>
    <row r="92" spans="1:37">
      <c r="A92" s="3786"/>
      <c r="B92" s="3786"/>
      <c r="C92" s="2608" t="s">
        <v>163</v>
      </c>
      <c r="D92" s="2608" t="s">
        <v>164</v>
      </c>
      <c r="E92" s="2608" t="s">
        <v>159</v>
      </c>
      <c r="F92" s="2608" t="s">
        <v>160</v>
      </c>
      <c r="G92" s="2608" t="s">
        <v>161</v>
      </c>
      <c r="H92" s="2608" t="s">
        <v>162</v>
      </c>
      <c r="I92" s="2608" t="s">
        <v>1179</v>
      </c>
      <c r="J92" s="2608" t="s">
        <v>1180</v>
      </c>
      <c r="K92" s="2608" t="s">
        <v>1181</v>
      </c>
      <c r="L92" s="2608" t="s">
        <v>1182</v>
      </c>
      <c r="M92" s="2608" t="s">
        <v>1183</v>
      </c>
      <c r="N92" s="2608" t="s">
        <v>1184</v>
      </c>
    </row>
    <row r="93" spans="1:37">
      <c r="A93" s="3787" t="s">
        <v>1765</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8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8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8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8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8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88"/>
      <c r="B99" s="1590" t="s">
        <v>1766</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8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87" t="s">
        <v>1767</v>
      </c>
      <c r="B101" s="1594" t="s">
        <v>91</v>
      </c>
      <c r="C101" s="1595" t="e">
        <f>$G$3</f>
        <v>#DIV/0!</v>
      </c>
      <c r="D101" s="1595" t="e">
        <f t="shared" ref="D101:N101" si="31">$G$3</f>
        <v>#DIV/0!</v>
      </c>
      <c r="E101" s="1595" t="e">
        <f t="shared" si="31"/>
        <v>#DIV/0!</v>
      </c>
      <c r="F101" s="1595" t="e">
        <f t="shared" si="31"/>
        <v>#DIV/0!</v>
      </c>
      <c r="G101" s="1595" t="e">
        <f t="shared" si="31"/>
        <v>#DIV/0!</v>
      </c>
      <c r="H101" s="1595" t="e">
        <f t="shared" si="31"/>
        <v>#DIV/0!</v>
      </c>
      <c r="I101" s="1595" t="e">
        <f t="shared" si="31"/>
        <v>#DIV/0!</v>
      </c>
      <c r="J101" s="1595" t="e">
        <f t="shared" si="31"/>
        <v>#DIV/0!</v>
      </c>
      <c r="K101" s="1595" t="e">
        <f t="shared" si="31"/>
        <v>#DIV/0!</v>
      </c>
      <c r="L101" s="1595" t="e">
        <f t="shared" si="31"/>
        <v>#DIV/0!</v>
      </c>
      <c r="M101" s="1595" t="e">
        <f t="shared" si="31"/>
        <v>#DIV/0!</v>
      </c>
      <c r="N101" s="1595" t="e">
        <f t="shared" si="31"/>
        <v>#DIV/0!</v>
      </c>
    </row>
    <row r="102" spans="1:14">
      <c r="A102" s="3788"/>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788"/>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788"/>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788"/>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788"/>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788"/>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788"/>
      <c r="B108" s="3790" t="s">
        <v>1769</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89"/>
      <c r="B109" s="3791"/>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785" t="s">
        <v>1770</v>
      </c>
      <c r="B110" s="3785"/>
      <c r="C110" s="3785"/>
      <c r="D110" s="3785"/>
      <c r="E110" s="3785"/>
      <c r="F110" s="3785"/>
      <c r="G110" s="3785"/>
      <c r="H110" s="3785"/>
      <c r="I110" s="3785"/>
      <c r="J110" s="3785"/>
      <c r="K110" s="2607"/>
      <c r="L110" s="2607"/>
      <c r="M110" s="2607"/>
      <c r="N110" s="2607"/>
    </row>
    <row r="112" spans="1:14" ht="12.75" thickBot="1"/>
    <row r="113" spans="1:13" ht="25.5" thickBot="1">
      <c r="A113" s="1603" t="s">
        <v>1772</v>
      </c>
      <c r="B113" s="2610" t="e">
        <f>G3</f>
        <v>#DIV/0!</v>
      </c>
      <c r="C113" s="1604" t="s">
        <v>1773</v>
      </c>
      <c r="D113" s="1605" t="e">
        <f>SUMPRODUCT((A115:A118=F113)*(B114:M114=H113)*B115:M118)</f>
        <v>#DIV/0!</v>
      </c>
      <c r="E113" s="1606" t="s">
        <v>66</v>
      </c>
      <c r="F113" s="1607">
        <f>E2</f>
        <v>0</v>
      </c>
      <c r="G113" s="1606" t="s">
        <v>1562</v>
      </c>
      <c r="H113" s="1607">
        <f>G2</f>
        <v>0</v>
      </c>
      <c r="I113" s="1606"/>
      <c r="J113" s="1598"/>
      <c r="K113" s="1598"/>
      <c r="L113" s="1598"/>
      <c r="M113" s="1598"/>
    </row>
    <row r="114" spans="1:13" ht="12.75">
      <c r="A114" s="1610"/>
      <c r="B114" s="1611" t="s">
        <v>163</v>
      </c>
      <c r="C114" s="1611" t="s">
        <v>164</v>
      </c>
      <c r="D114" s="1611" t="s">
        <v>159</v>
      </c>
      <c r="E114" s="1612" t="s">
        <v>160</v>
      </c>
      <c r="F114" s="1612" t="s">
        <v>161</v>
      </c>
      <c r="G114" s="1612" t="s">
        <v>162</v>
      </c>
      <c r="H114" s="1613" t="s">
        <v>1179</v>
      </c>
      <c r="I114" s="1613" t="s">
        <v>1180</v>
      </c>
      <c r="J114" s="1614" t="s">
        <v>1181</v>
      </c>
      <c r="K114" s="1614" t="s">
        <v>1182</v>
      </c>
      <c r="L114" s="1614" t="s">
        <v>1183</v>
      </c>
      <c r="M114" s="1615" t="s">
        <v>1184</v>
      </c>
    </row>
    <row r="115" spans="1:13" ht="12.75">
      <c r="A115" s="1616" t="s">
        <v>1774</v>
      </c>
      <c r="B115" s="1617" t="e">
        <f>ROUND(0.9335-0.0094*B113,4)</f>
        <v>#DIV/0!</v>
      </c>
      <c r="C115" s="1617" t="e">
        <f>B115</f>
        <v>#DIV/0!</v>
      </c>
      <c r="D115" s="1617" t="e">
        <f>ROUND(0.8331-0.0109*B113,4)</f>
        <v>#DIV/0!</v>
      </c>
      <c r="E115" s="1617" t="e">
        <f>D115</f>
        <v>#DIV/0!</v>
      </c>
      <c r="F115" s="1617" t="e">
        <f>E115</f>
        <v>#DIV/0!</v>
      </c>
      <c r="G115" s="1617" t="e">
        <f>F115</f>
        <v>#DIV/0!</v>
      </c>
      <c r="H115" s="1617" t="e">
        <f>G115</f>
        <v>#DIV/0!</v>
      </c>
      <c r="I115" s="1617" t="e">
        <f>ROUND(0.689-0.0155*B113,4)</f>
        <v>#DIV/0!</v>
      </c>
      <c r="J115" s="1617" t="e">
        <f t="shared" ref="J115:M118" si="33">I115</f>
        <v>#DIV/0!</v>
      </c>
      <c r="K115" s="1617" t="e">
        <f t="shared" si="33"/>
        <v>#DIV/0!</v>
      </c>
      <c r="L115" s="1617" t="e">
        <f t="shared" si="33"/>
        <v>#DIV/0!</v>
      </c>
      <c r="M115" s="1618" t="e">
        <f t="shared" si="33"/>
        <v>#DIV/0!</v>
      </c>
    </row>
    <row r="116" spans="1:13" ht="12.75">
      <c r="A116" s="1616" t="s">
        <v>1775</v>
      </c>
      <c r="B116" s="1617" t="e">
        <f>ROUND(0.949-0.012*B113,4)</f>
        <v>#DIV/0!</v>
      </c>
      <c r="C116" s="1617" t="e">
        <f>B116</f>
        <v>#DIV/0!</v>
      </c>
      <c r="D116" s="1617" t="e">
        <f>ROUND(0.8567-0.013*B113,4)</f>
        <v>#DIV/0!</v>
      </c>
      <c r="E116" s="1617" t="e">
        <f t="shared" ref="E116:H117" si="34">D116</f>
        <v>#DIV/0!</v>
      </c>
      <c r="F116" s="1617" t="e">
        <f t="shared" si="34"/>
        <v>#DIV/0!</v>
      </c>
      <c r="G116" s="1617" t="e">
        <f t="shared" si="34"/>
        <v>#DIV/0!</v>
      </c>
      <c r="H116" s="1617" t="e">
        <f t="shared" si="34"/>
        <v>#DIV/0!</v>
      </c>
      <c r="I116" s="1617" t="e">
        <f>ROUND(0.7694-0.014*B113,4)</f>
        <v>#DIV/0!</v>
      </c>
      <c r="J116" s="1617" t="e">
        <f t="shared" si="33"/>
        <v>#DIV/0!</v>
      </c>
      <c r="K116" s="1617" t="e">
        <f t="shared" si="33"/>
        <v>#DIV/0!</v>
      </c>
      <c r="L116" s="1617" t="e">
        <f t="shared" si="33"/>
        <v>#DIV/0!</v>
      </c>
      <c r="M116" s="1618" t="e">
        <f t="shared" si="33"/>
        <v>#DIV/0!</v>
      </c>
    </row>
    <row r="117" spans="1:13" ht="12.75">
      <c r="A117" s="1619" t="s">
        <v>979</v>
      </c>
      <c r="B117" s="1617" t="e">
        <f>ROUND(0.8808-0.006*B113,4)</f>
        <v>#DIV/0!</v>
      </c>
      <c r="C117" s="1617" t="e">
        <f>B117</f>
        <v>#DIV/0!</v>
      </c>
      <c r="D117" s="1617" t="e">
        <f>ROUND(0.8748-0.008*B113,4)</f>
        <v>#DIV/0!</v>
      </c>
      <c r="E117" s="1617" t="e">
        <f t="shared" si="34"/>
        <v>#DIV/0!</v>
      </c>
      <c r="F117" s="1617" t="e">
        <f t="shared" si="34"/>
        <v>#DIV/0!</v>
      </c>
      <c r="G117" s="1617" t="e">
        <f t="shared" si="34"/>
        <v>#DIV/0!</v>
      </c>
      <c r="H117" s="1617" t="e">
        <f t="shared" si="34"/>
        <v>#DIV/0!</v>
      </c>
      <c r="I117" s="1617" t="e">
        <f>ROUND(0.7412-0.0095*B113,4)</f>
        <v>#DIV/0!</v>
      </c>
      <c r="J117" s="1617" t="e">
        <f t="shared" si="33"/>
        <v>#DIV/0!</v>
      </c>
      <c r="K117" s="1617" t="e">
        <f t="shared" si="33"/>
        <v>#DIV/0!</v>
      </c>
      <c r="L117" s="1617" t="e">
        <f t="shared" si="33"/>
        <v>#DIV/0!</v>
      </c>
      <c r="M117" s="1618" t="e">
        <f t="shared" si="33"/>
        <v>#DIV/0!</v>
      </c>
    </row>
    <row r="118" spans="1:13" ht="13.5" thickBot="1">
      <c r="A118" s="1123" t="s">
        <v>1776</v>
      </c>
      <c r="B118" s="1620" t="e">
        <f>ROUND(0.7275-0.01*B113,4)</f>
        <v>#DIV/0!</v>
      </c>
      <c r="C118" s="1620" t="e">
        <f>B118</f>
        <v>#DIV/0!</v>
      </c>
      <c r="D118" s="1620" t="e">
        <f>ROUND(0.7043-0.012*B113,4)</f>
        <v>#DIV/0!</v>
      </c>
      <c r="E118" s="1620" t="e">
        <f>D118</f>
        <v>#DIV/0!</v>
      </c>
      <c r="F118" s="1620" t="e">
        <f>E118</f>
        <v>#DIV/0!</v>
      </c>
      <c r="G118" s="1620" t="e">
        <f>ROUND(0.6299-0.0122*B113,4)</f>
        <v>#DIV/0!</v>
      </c>
      <c r="H118" s="1620" t="e">
        <f>G118</f>
        <v>#DIV/0!</v>
      </c>
      <c r="I118" s="1620" t="e">
        <f>ROUND(0.5667-0.0136*B113,4)</f>
        <v>#DIV/0!</v>
      </c>
      <c r="J118" s="1620" t="e">
        <f t="shared" si="33"/>
        <v>#DIV/0!</v>
      </c>
      <c r="K118" s="1620" t="e">
        <f t="shared" si="33"/>
        <v>#DIV/0!</v>
      </c>
      <c r="L118" s="1620" t="e">
        <f t="shared" si="33"/>
        <v>#DIV/0!</v>
      </c>
      <c r="M118" s="162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1562</v>
      </c>
      <c r="B1" s="1522" t="s">
        <v>1173</v>
      </c>
      <c r="C1" s="1522" t="s">
        <v>1174</v>
      </c>
      <c r="D1" s="1522" t="s">
        <v>1175</v>
      </c>
      <c r="E1" s="1522" t="s">
        <v>1176</v>
      </c>
      <c r="F1" s="1522" t="s">
        <v>1177</v>
      </c>
      <c r="G1" s="1522" t="s">
        <v>1178</v>
      </c>
      <c r="H1" s="1522" t="s">
        <v>1179</v>
      </c>
      <c r="I1" s="1522" t="s">
        <v>1180</v>
      </c>
      <c r="J1" s="1522" t="s">
        <v>1181</v>
      </c>
      <c r="K1" s="1522" t="s">
        <v>1182</v>
      </c>
      <c r="L1" s="1522" t="s">
        <v>1183</v>
      </c>
      <c r="M1" s="1523" t="s">
        <v>1184</v>
      </c>
    </row>
    <row r="2" spans="1:13" ht="19.5" customHeight="1">
      <c r="A2" s="1548" t="s">
        <v>1199</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1200</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1849</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1202</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1563</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1564</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1565</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1566</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1567</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1568</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1569</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1570</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1571</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1572</v>
      </c>
      <c r="B16" s="1567"/>
      <c r="C16" s="1568"/>
      <c r="D16" s="1568"/>
      <c r="E16" s="1567"/>
      <c r="F16" s="1568"/>
      <c r="G16" s="1568"/>
    </row>
    <row r="17" spans="1:9" ht="19.5" customHeight="1">
      <c r="A17" s="1499" t="s">
        <v>1573</v>
      </c>
      <c r="B17" s="1570" t="s">
        <v>1574</v>
      </c>
      <c r="C17" s="1751" t="s">
        <v>1872</v>
      </c>
      <c r="D17" s="1571"/>
      <c r="E17" s="1499" t="s">
        <v>1575</v>
      </c>
      <c r="F17" s="1572"/>
      <c r="G17" s="1572"/>
    </row>
    <row r="18" spans="1:9" s="1578" customFormat="1" ht="19.5" customHeight="1">
      <c r="A18" s="3786" t="s">
        <v>1199</v>
      </c>
      <c r="B18" s="1573" t="s">
        <v>1576</v>
      </c>
      <c r="C18" s="1574" t="s">
        <v>1577</v>
      </c>
      <c r="D18" s="1575"/>
      <c r="E18" s="1573">
        <v>1</v>
      </c>
      <c r="F18" s="1576" t="s">
        <v>1578</v>
      </c>
      <c r="G18" s="1577"/>
      <c r="H18" s="1569"/>
      <c r="I18" s="1569"/>
    </row>
    <row r="19" spans="1:9" s="1578" customFormat="1" ht="19.5" customHeight="1">
      <c r="A19" s="3786"/>
      <c r="B19" s="3786" t="s">
        <v>1579</v>
      </c>
      <c r="C19" s="1574" t="s">
        <v>1580</v>
      </c>
      <c r="D19" s="1575"/>
      <c r="E19" s="1573">
        <v>0.9</v>
      </c>
      <c r="F19" s="1576" t="s">
        <v>1581</v>
      </c>
      <c r="G19" s="1577"/>
      <c r="H19" s="1569"/>
      <c r="I19" s="1569"/>
    </row>
    <row r="20" spans="1:9" s="1578" customFormat="1" ht="19.5" customHeight="1">
      <c r="A20" s="3786"/>
      <c r="B20" s="3786"/>
      <c r="C20" s="1574" t="s">
        <v>1582</v>
      </c>
      <c r="D20" s="1575"/>
      <c r="E20" s="1573">
        <v>1.1000000000000001</v>
      </c>
      <c r="F20" s="1576" t="s">
        <v>1583</v>
      </c>
      <c r="G20" s="1577"/>
      <c r="H20" s="1569"/>
      <c r="I20" s="1569"/>
    </row>
    <row r="21" spans="1:9" s="1578" customFormat="1" ht="19.5" customHeight="1">
      <c r="A21" s="3786"/>
      <c r="B21" s="3786"/>
      <c r="C21" s="1574" t="s">
        <v>1584</v>
      </c>
      <c r="D21" s="1575"/>
      <c r="E21" s="1573">
        <v>0.8</v>
      </c>
      <c r="F21" s="1576" t="s">
        <v>1585</v>
      </c>
      <c r="G21" s="1577"/>
      <c r="H21" s="1569"/>
      <c r="I21" s="1569"/>
    </row>
    <row r="22" spans="1:9" s="1578" customFormat="1" ht="19.5" customHeight="1">
      <c r="A22" s="3786"/>
      <c r="B22" s="3786"/>
      <c r="C22" s="1574" t="s">
        <v>1586</v>
      </c>
      <c r="D22" s="1575"/>
      <c r="E22" s="1573">
        <v>0.5</v>
      </c>
      <c r="F22" s="1576"/>
      <c r="G22" s="1577"/>
      <c r="H22" s="1569"/>
      <c r="I22" s="1569"/>
    </row>
    <row r="23" spans="1:9" s="1578" customFormat="1" ht="19.5" customHeight="1">
      <c r="A23" s="3786" t="s">
        <v>1200</v>
      </c>
      <c r="B23" s="1573" t="s">
        <v>1576</v>
      </c>
      <c r="C23" s="1574" t="s">
        <v>1587</v>
      </c>
      <c r="D23" s="1575"/>
      <c r="E23" s="1573">
        <v>1</v>
      </c>
      <c r="F23" s="1576" t="s">
        <v>1588</v>
      </c>
      <c r="G23" s="1577"/>
      <c r="H23" s="1569"/>
      <c r="I23" s="1569"/>
    </row>
    <row r="24" spans="1:9" s="1578" customFormat="1" ht="19.5" customHeight="1">
      <c r="A24" s="3786"/>
      <c r="B24" s="3786" t="s">
        <v>1579</v>
      </c>
      <c r="C24" s="1574" t="s">
        <v>1589</v>
      </c>
      <c r="D24" s="1575"/>
      <c r="E24" s="1573">
        <v>0.5</v>
      </c>
      <c r="F24" s="1576"/>
      <c r="G24" s="1577"/>
      <c r="H24" s="1569"/>
      <c r="I24" s="1569"/>
    </row>
    <row r="25" spans="1:9" s="1578" customFormat="1" ht="19.5" customHeight="1">
      <c r="A25" s="3786"/>
      <c r="B25" s="3786"/>
      <c r="C25" s="1574" t="s">
        <v>1590</v>
      </c>
      <c r="D25" s="1575"/>
      <c r="E25" s="1573">
        <v>1.1000000000000001</v>
      </c>
      <c r="F25" s="1576"/>
      <c r="G25" s="1577"/>
      <c r="H25" s="1569"/>
      <c r="I25" s="1569"/>
    </row>
    <row r="26" spans="1:9" s="1578" customFormat="1" ht="19.5" customHeight="1">
      <c r="A26" s="3786"/>
      <c r="B26" s="3786"/>
      <c r="C26" s="1574" t="s">
        <v>1591</v>
      </c>
      <c r="D26" s="1575"/>
      <c r="E26" s="1573">
        <v>1.1000000000000001</v>
      </c>
      <c r="F26" s="1576"/>
      <c r="G26" s="1577"/>
      <c r="H26" s="1569"/>
      <c r="I26" s="1569"/>
    </row>
    <row r="27" spans="1:9" s="1578" customFormat="1" ht="19.5" customHeight="1">
      <c r="A27" s="3786"/>
      <c r="B27" s="3786"/>
      <c r="C27" s="1574" t="s">
        <v>1592</v>
      </c>
      <c r="D27" s="1575"/>
      <c r="E27" s="1573">
        <v>0.9</v>
      </c>
      <c r="F27" s="1576" t="s">
        <v>1593</v>
      </c>
      <c r="G27" s="1577"/>
      <c r="H27" s="1569"/>
      <c r="I27" s="1569"/>
    </row>
    <row r="28" spans="1:9" s="1578" customFormat="1" ht="19.5" customHeight="1">
      <c r="A28" s="3786"/>
      <c r="B28" s="3786"/>
      <c r="C28" s="1574" t="s">
        <v>1594</v>
      </c>
      <c r="D28" s="1575"/>
      <c r="E28" s="1573">
        <v>0.9</v>
      </c>
      <c r="F28" s="1576" t="s">
        <v>1595</v>
      </c>
      <c r="G28" s="1577"/>
      <c r="H28" s="1569"/>
      <c r="I28" s="1569"/>
    </row>
    <row r="29" spans="1:9" s="1578" customFormat="1" ht="19.5" customHeight="1">
      <c r="A29" s="3786"/>
      <c r="B29" s="3786"/>
      <c r="C29" s="1574" t="s">
        <v>1596</v>
      </c>
      <c r="D29" s="1575"/>
      <c r="E29" s="1573">
        <v>0.9</v>
      </c>
      <c r="F29" s="1576" t="s">
        <v>1597</v>
      </c>
      <c r="G29" s="1577"/>
      <c r="H29" s="1569"/>
      <c r="I29" s="1569"/>
    </row>
    <row r="30" spans="1:9" s="1578" customFormat="1" ht="19.5" customHeight="1">
      <c r="A30" s="3786"/>
      <c r="B30" s="3786"/>
      <c r="C30" s="1574" t="s">
        <v>1598</v>
      </c>
      <c r="D30" s="1575"/>
      <c r="E30" s="1573">
        <v>0.9</v>
      </c>
      <c r="F30" s="1576" t="s">
        <v>1599</v>
      </c>
      <c r="G30" s="1577"/>
      <c r="H30" s="1569"/>
      <c r="I30" s="1569"/>
    </row>
    <row r="31" spans="1:9" s="1578" customFormat="1" ht="19.5" customHeight="1">
      <c r="A31" s="3786"/>
      <c r="B31" s="3786"/>
      <c r="C31" s="1574" t="s">
        <v>1600</v>
      </c>
      <c r="D31" s="1575"/>
      <c r="E31" s="1573">
        <v>0.8</v>
      </c>
      <c r="F31" s="1576" t="s">
        <v>1601</v>
      </c>
      <c r="G31" s="1577"/>
      <c r="H31" s="1569"/>
      <c r="I31" s="1569"/>
    </row>
    <row r="32" spans="1:9" s="1578" customFormat="1" ht="19.5" customHeight="1">
      <c r="A32" s="3786"/>
      <c r="B32" s="3786"/>
      <c r="C32" s="1574" t="s">
        <v>1602</v>
      </c>
      <c r="D32" s="1575"/>
      <c r="E32" s="1573">
        <v>0.8</v>
      </c>
      <c r="F32" s="1576" t="s">
        <v>1603</v>
      </c>
      <c r="G32" s="1577"/>
      <c r="H32" s="1569"/>
      <c r="I32" s="1569"/>
    </row>
    <row r="33" spans="1:9" s="1578" customFormat="1" ht="19.5" customHeight="1">
      <c r="A33" s="3786" t="s">
        <v>1201</v>
      </c>
      <c r="B33" s="1573" t="s">
        <v>1576</v>
      </c>
      <c r="C33" s="1574" t="s">
        <v>1604</v>
      </c>
      <c r="D33" s="1575"/>
      <c r="E33" s="1573">
        <v>1</v>
      </c>
      <c r="F33" s="1576" t="s">
        <v>1605</v>
      </c>
      <c r="G33" s="1577"/>
      <c r="H33" s="1569"/>
      <c r="I33" s="1569"/>
    </row>
    <row r="34" spans="1:9" s="1578" customFormat="1" ht="19.5" customHeight="1">
      <c r="A34" s="3786"/>
      <c r="B34" s="1573" t="s">
        <v>1579</v>
      </c>
      <c r="C34" s="1574" t="s">
        <v>1606</v>
      </c>
      <c r="D34" s="1575"/>
      <c r="E34" s="1573">
        <v>1.5</v>
      </c>
      <c r="F34" s="1576" t="s">
        <v>1607</v>
      </c>
      <c r="G34" s="1577"/>
      <c r="H34" s="1569"/>
      <c r="I34" s="1569"/>
    </row>
    <row r="35" spans="1:9" s="1578" customFormat="1" ht="19.5" customHeight="1">
      <c r="A35" s="3786" t="s">
        <v>1202</v>
      </c>
      <c r="B35" s="1573" t="s">
        <v>1576</v>
      </c>
      <c r="C35" s="1574" t="s">
        <v>1608</v>
      </c>
      <c r="D35" s="1575"/>
      <c r="E35" s="1573">
        <v>1</v>
      </c>
      <c r="F35" s="1576" t="s">
        <v>1609</v>
      </c>
      <c r="G35" s="1577"/>
      <c r="H35" s="1569"/>
      <c r="I35" s="1569"/>
    </row>
    <row r="36" spans="1:9" s="1578" customFormat="1" ht="19.5" customHeight="1">
      <c r="A36" s="3786"/>
      <c r="B36" s="3786" t="s">
        <v>1579</v>
      </c>
      <c r="C36" s="1574" t="s">
        <v>1610</v>
      </c>
      <c r="D36" s="1575"/>
      <c r="E36" s="1573">
        <v>1</v>
      </c>
      <c r="F36" s="1576" t="s">
        <v>1611</v>
      </c>
      <c r="G36" s="1577"/>
      <c r="H36" s="1569"/>
      <c r="I36" s="1569"/>
    </row>
    <row r="37" spans="1:9" s="1578" customFormat="1" ht="19.5" customHeight="1">
      <c r="A37" s="3786"/>
      <c r="B37" s="3786"/>
      <c r="C37" s="1574" t="s">
        <v>1612</v>
      </c>
      <c r="D37" s="1575"/>
      <c r="E37" s="1573">
        <v>1.5</v>
      </c>
      <c r="F37" s="1576" t="s">
        <v>1613</v>
      </c>
      <c r="G37" s="1577"/>
      <c r="H37" s="1569"/>
      <c r="I37" s="1569"/>
    </row>
    <row r="38" spans="1:9" s="1578" customFormat="1" ht="19.5" customHeight="1">
      <c r="A38" s="3786"/>
      <c r="B38" s="3786"/>
      <c r="C38" s="1574" t="s">
        <v>1614</v>
      </c>
      <c r="D38" s="1575"/>
      <c r="E38" s="1573">
        <v>1</v>
      </c>
      <c r="F38" s="1576" t="s">
        <v>1615</v>
      </c>
      <c r="G38" s="1577"/>
      <c r="H38" s="1569"/>
      <c r="I38" s="1569"/>
    </row>
    <row r="39" spans="1:9" s="1578" customFormat="1" ht="19.5" customHeight="1">
      <c r="A39" s="3786"/>
      <c r="B39" s="3786"/>
      <c r="C39" s="1574" t="s">
        <v>1616</v>
      </c>
      <c r="D39" s="1575"/>
      <c r="E39" s="1573">
        <v>1</v>
      </c>
      <c r="F39" s="1576" t="s">
        <v>1617</v>
      </c>
      <c r="G39" s="1577"/>
      <c r="H39" s="1569"/>
      <c r="I39" s="1569"/>
    </row>
    <row r="40" spans="1:9" s="1578" customFormat="1" ht="19.5" customHeight="1">
      <c r="A40" s="1579" t="s">
        <v>1618</v>
      </c>
      <c r="B40" s="1579"/>
      <c r="C40" s="1579"/>
      <c r="D40" s="1579"/>
      <c r="E40" s="1579"/>
      <c r="F40" s="1580"/>
      <c r="G40" s="1580"/>
      <c r="H40" s="1569"/>
      <c r="I40" s="1569"/>
    </row>
    <row r="42" spans="1:9" ht="19.5" customHeight="1">
      <c r="A42" s="1581"/>
      <c r="B42" s="1499" t="s">
        <v>1619</v>
      </c>
      <c r="C42" s="1499" t="s">
        <v>1619</v>
      </c>
      <c r="D42" s="1499" t="s">
        <v>1619</v>
      </c>
      <c r="E42" s="1510" t="s">
        <v>1619</v>
      </c>
      <c r="F42" s="1510" t="s">
        <v>1619</v>
      </c>
      <c r="G42" s="1510" t="s">
        <v>1620</v>
      </c>
      <c r="H42" s="1510" t="s">
        <v>1619</v>
      </c>
    </row>
    <row r="43" spans="1:9" ht="19.5" customHeight="1">
      <c r="A43" s="1582"/>
      <c r="B43" s="1510" t="s">
        <v>1199</v>
      </c>
      <c r="C43" s="1510" t="s">
        <v>1199</v>
      </c>
      <c r="D43" s="1510" t="s">
        <v>1199</v>
      </c>
      <c r="E43" s="1510" t="s">
        <v>1199</v>
      </c>
      <c r="F43" s="1499" t="s">
        <v>1200</v>
      </c>
      <c r="G43" s="1499" t="s">
        <v>1202</v>
      </c>
      <c r="H43" s="1499" t="s">
        <v>1621</v>
      </c>
    </row>
    <row r="44" spans="1:9" ht="19.5" customHeight="1">
      <c r="A44" s="1583"/>
      <c r="B44" s="1499">
        <v>1</v>
      </c>
      <c r="C44" s="1499">
        <v>2</v>
      </c>
      <c r="D44" s="1499">
        <v>3</v>
      </c>
      <c r="E44" s="1510">
        <v>4</v>
      </c>
      <c r="F44" s="1571" t="s">
        <v>1622</v>
      </c>
      <c r="G44" s="1571" t="s">
        <v>1622</v>
      </c>
      <c r="H44" s="1571" t="s">
        <v>1622</v>
      </c>
    </row>
    <row r="45" spans="1:9" ht="19.5" customHeight="1">
      <c r="A45" s="1584" t="s">
        <v>1173</v>
      </c>
      <c r="B45" s="1499">
        <v>0.8</v>
      </c>
      <c r="C45" s="1499">
        <v>0.5</v>
      </c>
      <c r="D45" s="1499">
        <v>0.36</v>
      </c>
      <c r="E45" s="1499">
        <v>0.3</v>
      </c>
      <c r="F45" s="1571">
        <v>0.3</v>
      </c>
      <c r="G45" s="1499">
        <v>0.3</v>
      </c>
      <c r="H45" s="1499">
        <v>0.25</v>
      </c>
    </row>
    <row r="46" spans="1:9" ht="19.5" customHeight="1">
      <c r="A46" s="1584" t="s">
        <v>1174</v>
      </c>
      <c r="B46" s="1499">
        <v>0.8</v>
      </c>
      <c r="C46" s="1499">
        <v>0.5</v>
      </c>
      <c r="D46" s="1499">
        <v>0.36</v>
      </c>
      <c r="E46" s="1499">
        <v>0.3</v>
      </c>
      <c r="F46" s="1499">
        <v>0.3</v>
      </c>
      <c r="G46" s="1499">
        <v>0.3</v>
      </c>
      <c r="H46" s="1499">
        <v>0.25</v>
      </c>
    </row>
    <row r="47" spans="1:9" ht="19.5" customHeight="1">
      <c r="A47" s="1584" t="s">
        <v>1175</v>
      </c>
      <c r="B47" s="1499">
        <v>0.7</v>
      </c>
      <c r="C47" s="1499">
        <v>0.4</v>
      </c>
      <c r="D47" s="1499">
        <v>0.28000000000000003</v>
      </c>
      <c r="E47" s="1499">
        <v>0.25</v>
      </c>
      <c r="F47" s="1499">
        <v>0.25</v>
      </c>
      <c r="G47" s="1499">
        <v>0.25</v>
      </c>
      <c r="H47" s="1499">
        <v>0.2</v>
      </c>
    </row>
    <row r="48" spans="1:9" ht="19.5" customHeight="1">
      <c r="A48" s="1584" t="s">
        <v>1176</v>
      </c>
      <c r="B48" s="1499">
        <v>0.7</v>
      </c>
      <c r="C48" s="1499">
        <v>0.4</v>
      </c>
      <c r="D48" s="1499">
        <v>0.28000000000000003</v>
      </c>
      <c r="E48" s="1499">
        <v>0.25</v>
      </c>
      <c r="F48" s="1499">
        <v>0.25</v>
      </c>
      <c r="G48" s="1499">
        <v>0.25</v>
      </c>
      <c r="H48" s="1499">
        <v>0.2</v>
      </c>
    </row>
    <row r="49" spans="1:8" s="1569" customFormat="1" ht="19.5" customHeight="1">
      <c r="A49" s="1584" t="s">
        <v>1177</v>
      </c>
      <c r="B49" s="1499">
        <v>0.7</v>
      </c>
      <c r="C49" s="1499">
        <v>0.4</v>
      </c>
      <c r="D49" s="1499">
        <v>0.28000000000000003</v>
      </c>
      <c r="E49" s="1499">
        <v>0.25</v>
      </c>
      <c r="F49" s="1499">
        <v>0.25</v>
      </c>
      <c r="G49" s="1499">
        <v>0.25</v>
      </c>
      <c r="H49" s="1499">
        <v>0.2</v>
      </c>
    </row>
    <row r="50" spans="1:8" s="1569" customFormat="1" ht="19.5" customHeight="1">
      <c r="A50" s="1584" t="s">
        <v>1178</v>
      </c>
      <c r="B50" s="1499">
        <v>0.7</v>
      </c>
      <c r="C50" s="1499">
        <v>0.4</v>
      </c>
      <c r="D50" s="1499">
        <v>0.28000000000000003</v>
      </c>
      <c r="E50" s="1499">
        <v>0.25</v>
      </c>
      <c r="F50" s="1499">
        <v>0.25</v>
      </c>
      <c r="G50" s="1499">
        <v>0.25</v>
      </c>
      <c r="H50" s="1499">
        <v>0.2</v>
      </c>
    </row>
    <row r="51" spans="1:8" s="1569" customFormat="1" ht="19.5" customHeight="1">
      <c r="A51" s="1584" t="s">
        <v>1179</v>
      </c>
      <c r="B51" s="1499">
        <v>0.7</v>
      </c>
      <c r="C51" s="1499">
        <v>0.4</v>
      </c>
      <c r="D51" s="1499">
        <v>0.28000000000000003</v>
      </c>
      <c r="E51" s="1499">
        <v>0.25</v>
      </c>
      <c r="F51" s="1499">
        <v>0.25</v>
      </c>
      <c r="G51" s="1499">
        <v>0.25</v>
      </c>
      <c r="H51" s="1499">
        <v>0.2</v>
      </c>
    </row>
    <row r="52" spans="1:8" s="1569" customFormat="1" ht="19.5" customHeight="1">
      <c r="A52" s="1584" t="s">
        <v>1180</v>
      </c>
      <c r="B52" s="1499">
        <v>0.6</v>
      </c>
      <c r="C52" s="1499">
        <v>0.3</v>
      </c>
      <c r="D52" s="1499">
        <v>0.2</v>
      </c>
      <c r="E52" s="1499">
        <v>0.2</v>
      </c>
      <c r="F52" s="1499">
        <v>0.2</v>
      </c>
      <c r="G52" s="1499">
        <v>0.2</v>
      </c>
      <c r="H52" s="1499">
        <v>0.15</v>
      </c>
    </row>
    <row r="53" spans="1:8" s="1569" customFormat="1" ht="19.5" customHeight="1">
      <c r="A53" s="1584" t="s">
        <v>1181</v>
      </c>
      <c r="B53" s="1499">
        <v>0.6</v>
      </c>
      <c r="C53" s="1499">
        <v>0.3</v>
      </c>
      <c r="D53" s="1499">
        <v>0.2</v>
      </c>
      <c r="E53" s="1499">
        <v>0.2</v>
      </c>
      <c r="F53" s="1499">
        <v>0.2</v>
      </c>
      <c r="G53" s="1499">
        <v>0.2</v>
      </c>
      <c r="H53" s="1499">
        <v>0.15</v>
      </c>
    </row>
    <row r="54" spans="1:8" s="1569" customFormat="1" ht="19.5" customHeight="1">
      <c r="A54" s="1584" t="s">
        <v>1182</v>
      </c>
      <c r="B54" s="1499">
        <v>0.6</v>
      </c>
      <c r="C54" s="1499">
        <v>0.3</v>
      </c>
      <c r="D54" s="1499">
        <v>0.2</v>
      </c>
      <c r="E54" s="1499">
        <v>0.2</v>
      </c>
      <c r="F54" s="1499">
        <v>0.2</v>
      </c>
      <c r="G54" s="1499">
        <v>0.2</v>
      </c>
      <c r="H54" s="1499">
        <v>0.15</v>
      </c>
    </row>
    <row r="55" spans="1:8" s="1569" customFormat="1" ht="19.5" customHeight="1">
      <c r="A55" s="1584" t="s">
        <v>1183</v>
      </c>
      <c r="B55" s="1499">
        <v>0.6</v>
      </c>
      <c r="C55" s="1499">
        <v>0.3</v>
      </c>
      <c r="D55" s="1499">
        <v>0.2</v>
      </c>
      <c r="E55" s="1499">
        <v>0.2</v>
      </c>
      <c r="F55" s="1499">
        <v>0.2</v>
      </c>
      <c r="G55" s="1499">
        <v>0.2</v>
      </c>
      <c r="H55" s="1499">
        <v>0.15</v>
      </c>
    </row>
    <row r="56" spans="1:8" s="1569" customFormat="1" ht="19.5" customHeight="1">
      <c r="A56" s="1584" t="s">
        <v>1184</v>
      </c>
      <c r="B56" s="1499">
        <v>0.6</v>
      </c>
      <c r="C56" s="1499">
        <v>0.3</v>
      </c>
      <c r="D56" s="1499">
        <v>0.2</v>
      </c>
      <c r="E56" s="1499">
        <v>0.2</v>
      </c>
      <c r="F56" s="1499">
        <v>0.2</v>
      </c>
      <c r="G56" s="1499">
        <v>0.2</v>
      </c>
      <c r="H56" s="1499">
        <v>0.15</v>
      </c>
    </row>
    <row r="58" spans="1:8" s="1569" customFormat="1" ht="19.5" customHeight="1">
      <c r="A58" s="1585"/>
      <c r="B58" s="1567"/>
      <c r="C58" s="1567"/>
      <c r="D58" s="1567" t="s">
        <v>1623</v>
      </c>
      <c r="E58" s="1567"/>
      <c r="F58" s="1567"/>
    </row>
    <row r="59" spans="1:8" s="1569" customFormat="1" ht="19.5" customHeight="1">
      <c r="A59" s="1573" t="s">
        <v>1624</v>
      </c>
      <c r="B59" s="1573" t="s">
        <v>1625</v>
      </c>
      <c r="C59" s="1573" t="s">
        <v>1626</v>
      </c>
      <c r="D59" s="1573" t="s">
        <v>1627</v>
      </c>
      <c r="E59" s="1573" t="s">
        <v>1628</v>
      </c>
      <c r="F59" s="1573" t="s">
        <v>1629</v>
      </c>
    </row>
    <row r="60" spans="1:8" ht="13.5">
      <c r="A60" s="1768"/>
      <c r="B60" s="1768"/>
      <c r="C60" s="1768" t="s">
        <v>1761</v>
      </c>
      <c r="D60" s="1768"/>
      <c r="E60" s="1586" t="s">
        <v>23</v>
      </c>
      <c r="F60" s="1768" t="s">
        <v>23</v>
      </c>
    </row>
    <row r="61" spans="1:8" s="1569" customFormat="1" ht="24">
      <c r="A61" s="1573">
        <v>1</v>
      </c>
      <c r="B61" s="3786" t="s">
        <v>1630</v>
      </c>
      <c r="C61" s="1499" t="s">
        <v>1631</v>
      </c>
      <c r="D61" s="1499" t="s">
        <v>1632</v>
      </c>
      <c r="E61" s="1586">
        <v>0.5</v>
      </c>
      <c r="F61" s="1573">
        <v>80</v>
      </c>
    </row>
    <row r="62" spans="1:8" s="1569" customFormat="1" ht="24">
      <c r="A62" s="1573">
        <v>2</v>
      </c>
      <c r="B62" s="3786"/>
      <c r="C62" s="1499" t="s">
        <v>1633</v>
      </c>
      <c r="D62" s="1499" t="s">
        <v>1634</v>
      </c>
      <c r="E62" s="1586">
        <v>0.5</v>
      </c>
      <c r="F62" s="1573">
        <v>80</v>
      </c>
    </row>
    <row r="63" spans="1:8" s="1569" customFormat="1" ht="36">
      <c r="A63" s="1573">
        <v>3</v>
      </c>
      <c r="B63" s="3786"/>
      <c r="C63" s="1499" t="s">
        <v>1635</v>
      </c>
      <c r="D63" s="1499" t="s">
        <v>1636</v>
      </c>
      <c r="E63" s="1586">
        <v>0.5</v>
      </c>
      <c r="F63" s="1573">
        <v>80</v>
      </c>
    </row>
    <row r="64" spans="1:8" s="1569" customFormat="1" ht="36">
      <c r="A64" s="1573">
        <v>4</v>
      </c>
      <c r="B64" s="3786"/>
      <c r="C64" s="1499" t="s">
        <v>1637</v>
      </c>
      <c r="D64" s="1499" t="s">
        <v>1638</v>
      </c>
      <c r="E64" s="1586">
        <v>0.4</v>
      </c>
      <c r="F64" s="1573">
        <v>60</v>
      </c>
    </row>
    <row r="65" spans="1:6" s="1569" customFormat="1" ht="36">
      <c r="A65" s="1573">
        <v>5</v>
      </c>
      <c r="B65" s="3786"/>
      <c r="C65" s="1499" t="s">
        <v>1639</v>
      </c>
      <c r="D65" s="1499" t="s">
        <v>1640</v>
      </c>
      <c r="E65" s="1586">
        <v>0.2</v>
      </c>
      <c r="F65" s="1573">
        <v>30</v>
      </c>
    </row>
    <row r="66" spans="1:6" s="1569" customFormat="1" ht="36">
      <c r="A66" s="1573">
        <v>6</v>
      </c>
      <c r="B66" s="3786"/>
      <c r="C66" s="1499" t="s">
        <v>1641</v>
      </c>
      <c r="D66" s="1499" t="s">
        <v>1642</v>
      </c>
      <c r="E66" s="1586">
        <v>0.3</v>
      </c>
      <c r="F66" s="1573">
        <v>50</v>
      </c>
    </row>
    <row r="67" spans="1:6" s="1569" customFormat="1" ht="36">
      <c r="A67" s="1573">
        <v>7</v>
      </c>
      <c r="B67" s="3786"/>
      <c r="C67" s="1499" t="s">
        <v>1643</v>
      </c>
      <c r="D67" s="1499" t="s">
        <v>1644</v>
      </c>
      <c r="E67" s="1586">
        <v>0.2</v>
      </c>
      <c r="F67" s="1573">
        <v>30</v>
      </c>
    </row>
    <row r="68" spans="1:6" s="1569" customFormat="1" ht="36">
      <c r="A68" s="1573">
        <v>8</v>
      </c>
      <c r="B68" s="3786"/>
      <c r="C68" s="1499" t="s">
        <v>1645</v>
      </c>
      <c r="D68" s="1499" t="s">
        <v>1646</v>
      </c>
      <c r="E68" s="1586">
        <v>0.2</v>
      </c>
      <c r="F68" s="1573">
        <v>30</v>
      </c>
    </row>
    <row r="69" spans="1:6" s="1569" customFormat="1" ht="36">
      <c r="A69" s="1573">
        <v>9</v>
      </c>
      <c r="B69" s="3786"/>
      <c r="C69" s="1499" t="s">
        <v>1647</v>
      </c>
      <c r="D69" s="1499" t="s">
        <v>1648</v>
      </c>
      <c r="E69" s="1586">
        <v>0.2</v>
      </c>
      <c r="F69" s="1573">
        <v>30</v>
      </c>
    </row>
    <row r="70" spans="1:6" s="1569" customFormat="1" ht="48">
      <c r="A70" s="1573">
        <v>10</v>
      </c>
      <c r="B70" s="3786"/>
      <c r="C70" s="1499" t="s">
        <v>1649</v>
      </c>
      <c r="D70" s="1499" t="s">
        <v>1650</v>
      </c>
      <c r="E70" s="1586">
        <v>0.2</v>
      </c>
      <c r="F70" s="1573">
        <v>30</v>
      </c>
    </row>
    <row r="71" spans="1:6" s="1569" customFormat="1" ht="48">
      <c r="A71" s="1573">
        <v>11</v>
      </c>
      <c r="B71" s="3786"/>
      <c r="C71" s="1499" t="s">
        <v>1651</v>
      </c>
      <c r="D71" s="1499" t="s">
        <v>1652</v>
      </c>
      <c r="E71" s="1586">
        <v>0.2</v>
      </c>
      <c r="F71" s="1573">
        <v>30</v>
      </c>
    </row>
    <row r="72" spans="1:6" s="1569" customFormat="1" ht="36">
      <c r="A72" s="1573">
        <v>12</v>
      </c>
      <c r="B72" s="3786"/>
      <c r="C72" s="1499" t="s">
        <v>1653</v>
      </c>
      <c r="D72" s="1499" t="s">
        <v>1654</v>
      </c>
      <c r="E72" s="1586">
        <v>0.5</v>
      </c>
      <c r="F72" s="1573">
        <v>80</v>
      </c>
    </row>
    <row r="73" spans="1:6" s="1569" customFormat="1" ht="24">
      <c r="A73" s="1573">
        <v>13</v>
      </c>
      <c r="B73" s="3786"/>
      <c r="C73" s="1499" t="s">
        <v>1655</v>
      </c>
      <c r="D73" s="1499" t="s">
        <v>1656</v>
      </c>
      <c r="E73" s="1586">
        <v>0.4</v>
      </c>
      <c r="F73" s="1573">
        <v>60</v>
      </c>
    </row>
    <row r="74" spans="1:6" s="1569" customFormat="1" ht="24">
      <c r="A74" s="1573">
        <v>14</v>
      </c>
      <c r="B74" s="3786"/>
      <c r="C74" s="1499" t="s">
        <v>1657</v>
      </c>
      <c r="D74" s="1499" t="s">
        <v>1658</v>
      </c>
      <c r="E74" s="1586">
        <v>0.2</v>
      </c>
      <c r="F74" s="1573">
        <v>30</v>
      </c>
    </row>
    <row r="75" spans="1:6" s="1569" customFormat="1" ht="24">
      <c r="A75" s="1573">
        <v>15</v>
      </c>
      <c r="B75" s="3786"/>
      <c r="C75" s="1499" t="s">
        <v>1659</v>
      </c>
      <c r="D75" s="1499" t="s">
        <v>1660</v>
      </c>
      <c r="E75" s="1586">
        <v>0.2</v>
      </c>
      <c r="F75" s="1573">
        <v>30</v>
      </c>
    </row>
    <row r="76" spans="1:6" s="1569" customFormat="1" ht="24">
      <c r="A76" s="1573">
        <v>16</v>
      </c>
      <c r="B76" s="3786" t="s">
        <v>1661</v>
      </c>
      <c r="C76" s="1499" t="s">
        <v>1662</v>
      </c>
      <c r="D76" s="1499" t="s">
        <v>1663</v>
      </c>
      <c r="E76" s="1586">
        <v>0.5</v>
      </c>
      <c r="F76" s="1573">
        <v>80</v>
      </c>
    </row>
    <row r="77" spans="1:6" s="1569" customFormat="1" ht="24">
      <c r="A77" s="1573">
        <v>17</v>
      </c>
      <c r="B77" s="3786"/>
      <c r="C77" s="1499" t="s">
        <v>1664</v>
      </c>
      <c r="D77" s="1499" t="s">
        <v>1665</v>
      </c>
      <c r="E77" s="1586">
        <v>0.5</v>
      </c>
      <c r="F77" s="1573">
        <v>80</v>
      </c>
    </row>
    <row r="78" spans="1:6" s="1569" customFormat="1" ht="24">
      <c r="A78" s="1573">
        <v>18</v>
      </c>
      <c r="B78" s="3786"/>
      <c r="C78" s="1499" t="s">
        <v>1666</v>
      </c>
      <c r="D78" s="1499" t="s">
        <v>1667</v>
      </c>
      <c r="E78" s="1586">
        <v>0.2</v>
      </c>
      <c r="F78" s="1573">
        <v>30</v>
      </c>
    </row>
    <row r="79" spans="1:6" s="1569" customFormat="1" ht="24">
      <c r="A79" s="1573">
        <v>19</v>
      </c>
      <c r="B79" s="3786"/>
      <c r="C79" s="1499" t="s">
        <v>1668</v>
      </c>
      <c r="D79" s="1499" t="s">
        <v>1669</v>
      </c>
      <c r="E79" s="1586">
        <v>0.5</v>
      </c>
      <c r="F79" s="1573">
        <v>80</v>
      </c>
    </row>
    <row r="80" spans="1:6" s="1569" customFormat="1" ht="36">
      <c r="A80" s="1573">
        <v>20</v>
      </c>
      <c r="B80" s="3786"/>
      <c r="C80" s="1499" t="s">
        <v>1670</v>
      </c>
      <c r="D80" s="1499" t="s">
        <v>1671</v>
      </c>
      <c r="E80" s="1586">
        <v>0.2</v>
      </c>
      <c r="F80" s="1573">
        <v>30</v>
      </c>
    </row>
    <row r="81" spans="1:6" s="1569" customFormat="1" ht="36">
      <c r="A81" s="1573">
        <v>21</v>
      </c>
      <c r="B81" s="3786"/>
      <c r="C81" s="1499" t="s">
        <v>1672</v>
      </c>
      <c r="D81" s="1499" t="s">
        <v>1673</v>
      </c>
      <c r="E81" s="1586">
        <v>0.2</v>
      </c>
      <c r="F81" s="1573">
        <v>30</v>
      </c>
    </row>
    <row r="82" spans="1:6" s="1569" customFormat="1" ht="48">
      <c r="A82" s="1573">
        <v>22</v>
      </c>
      <c r="B82" s="3786"/>
      <c r="C82" s="1499" t="s">
        <v>1674</v>
      </c>
      <c r="D82" s="1499" t="s">
        <v>1675</v>
      </c>
      <c r="E82" s="1586">
        <v>0.2</v>
      </c>
      <c r="F82" s="1573">
        <v>30</v>
      </c>
    </row>
    <row r="83" spans="1:6" s="1569" customFormat="1" ht="48">
      <c r="A83" s="1573">
        <v>23</v>
      </c>
      <c r="B83" s="3786"/>
      <c r="C83" s="1499" t="s">
        <v>1676</v>
      </c>
      <c r="D83" s="1499" t="s">
        <v>1677</v>
      </c>
      <c r="E83" s="1586">
        <v>0.2</v>
      </c>
      <c r="F83" s="1573">
        <v>30</v>
      </c>
    </row>
    <row r="84" spans="1:6" s="1569" customFormat="1" ht="36">
      <c r="A84" s="1573">
        <v>24</v>
      </c>
      <c r="B84" s="3786"/>
      <c r="C84" s="1499" t="s">
        <v>1678</v>
      </c>
      <c r="D84" s="1499" t="s">
        <v>1679</v>
      </c>
      <c r="E84" s="1586">
        <v>0.2</v>
      </c>
      <c r="F84" s="1573">
        <v>30</v>
      </c>
    </row>
    <row r="85" spans="1:6" s="1569" customFormat="1" ht="36">
      <c r="A85" s="1573">
        <v>25</v>
      </c>
      <c r="B85" s="3786"/>
      <c r="C85" s="1499" t="s">
        <v>1680</v>
      </c>
      <c r="D85" s="1499" t="s">
        <v>1681</v>
      </c>
      <c r="E85" s="1586">
        <v>0.5</v>
      </c>
      <c r="F85" s="1573">
        <v>80</v>
      </c>
    </row>
    <row r="86" spans="1:6" s="1569" customFormat="1" ht="36">
      <c r="A86" s="1573">
        <v>26</v>
      </c>
      <c r="B86" s="3786"/>
      <c r="C86" s="1499" t="s">
        <v>1682</v>
      </c>
      <c r="D86" s="1499" t="s">
        <v>1683</v>
      </c>
      <c r="E86" s="1586">
        <v>0.2</v>
      </c>
      <c r="F86" s="1573">
        <v>30</v>
      </c>
    </row>
    <row r="87" spans="1:6" s="1569" customFormat="1" ht="36">
      <c r="A87" s="1573">
        <v>27</v>
      </c>
      <c r="B87" s="3786"/>
      <c r="C87" s="1499" t="s">
        <v>1684</v>
      </c>
      <c r="D87" s="1499" t="s">
        <v>1685</v>
      </c>
      <c r="E87" s="1586">
        <v>0.2</v>
      </c>
      <c r="F87" s="1573">
        <v>30</v>
      </c>
    </row>
    <row r="88" spans="1:6" s="1569" customFormat="1" ht="36">
      <c r="A88" s="1573">
        <v>28</v>
      </c>
      <c r="B88" s="3786"/>
      <c r="C88" s="1499" t="s">
        <v>1686</v>
      </c>
      <c r="D88" s="1499" t="s">
        <v>1687</v>
      </c>
      <c r="E88" s="1586">
        <v>0.2</v>
      </c>
      <c r="F88" s="1573">
        <v>30</v>
      </c>
    </row>
    <row r="89" spans="1:6" s="1569" customFormat="1" ht="24">
      <c r="A89" s="1573">
        <v>29</v>
      </c>
      <c r="B89" s="3786"/>
      <c r="C89" s="1499" t="s">
        <v>1688</v>
      </c>
      <c r="D89" s="1499" t="s">
        <v>1689</v>
      </c>
      <c r="E89" s="1586">
        <v>0.2</v>
      </c>
      <c r="F89" s="1573">
        <v>30</v>
      </c>
    </row>
    <row r="90" spans="1:6" s="1569" customFormat="1" ht="24">
      <c r="A90" s="1573">
        <v>30</v>
      </c>
      <c r="B90" s="3786"/>
      <c r="C90" s="1499" t="s">
        <v>1690</v>
      </c>
      <c r="D90" s="1499" t="s">
        <v>1691</v>
      </c>
      <c r="E90" s="1586">
        <v>0.2</v>
      </c>
      <c r="F90" s="1573">
        <v>30</v>
      </c>
    </row>
    <row r="91" spans="1:6" s="1569" customFormat="1" ht="36">
      <c r="A91" s="1573">
        <v>31</v>
      </c>
      <c r="B91" s="3786"/>
      <c r="C91" s="1499" t="s">
        <v>1692</v>
      </c>
      <c r="D91" s="1499" t="s">
        <v>1693</v>
      </c>
      <c r="E91" s="1586">
        <v>0.2</v>
      </c>
      <c r="F91" s="1573">
        <v>30</v>
      </c>
    </row>
    <row r="92" spans="1:6" s="1569" customFormat="1" ht="24">
      <c r="A92" s="1573">
        <v>32</v>
      </c>
      <c r="B92" s="3786" t="s">
        <v>1694</v>
      </c>
      <c r="C92" s="1573" t="s">
        <v>1695</v>
      </c>
      <c r="D92" s="1499" t="s">
        <v>1696</v>
      </c>
      <c r="E92" s="1586">
        <v>0.2</v>
      </c>
      <c r="F92" s="1573">
        <v>30</v>
      </c>
    </row>
    <row r="93" spans="1:6" s="1569" customFormat="1" ht="36">
      <c r="A93" s="1573">
        <v>33</v>
      </c>
      <c r="B93" s="3786"/>
      <c r="C93" s="1573" t="s">
        <v>1697</v>
      </c>
      <c r="D93" s="1499" t="s">
        <v>1698</v>
      </c>
      <c r="E93" s="1586">
        <v>0.2</v>
      </c>
      <c r="F93" s="1573">
        <v>30</v>
      </c>
    </row>
    <row r="94" spans="1:6" s="1569" customFormat="1" ht="48">
      <c r="A94" s="1573">
        <v>34</v>
      </c>
      <c r="B94" s="3786"/>
      <c r="C94" s="1573" t="s">
        <v>1699</v>
      </c>
      <c r="D94" s="1499" t="s">
        <v>1700</v>
      </c>
      <c r="E94" s="1586">
        <v>0.2</v>
      </c>
      <c r="F94" s="1573">
        <v>30</v>
      </c>
    </row>
    <row r="95" spans="1:6" s="1569" customFormat="1" ht="36">
      <c r="A95" s="1573">
        <v>35</v>
      </c>
      <c r="B95" s="3786"/>
      <c r="C95" s="1573" t="s">
        <v>1701</v>
      </c>
      <c r="D95" s="1499" t="s">
        <v>1702</v>
      </c>
      <c r="E95" s="1586">
        <v>0.2</v>
      </c>
      <c r="F95" s="1573">
        <v>30</v>
      </c>
    </row>
    <row r="96" spans="1:6" s="1569" customFormat="1" ht="48">
      <c r="A96" s="1573">
        <v>36</v>
      </c>
      <c r="B96" s="3786"/>
      <c r="C96" s="1499" t="s">
        <v>1703</v>
      </c>
      <c r="D96" s="1499" t="s">
        <v>1704</v>
      </c>
      <c r="E96" s="1586">
        <v>0.2</v>
      </c>
      <c r="F96" s="1573">
        <v>30</v>
      </c>
    </row>
    <row r="97" spans="1:6" s="1569" customFormat="1" ht="36">
      <c r="A97" s="1573">
        <v>37</v>
      </c>
      <c r="B97" s="3786"/>
      <c r="C97" s="1573" t="s">
        <v>1705</v>
      </c>
      <c r="D97" s="1499" t="s">
        <v>1706</v>
      </c>
      <c r="E97" s="1586">
        <v>0.2</v>
      </c>
      <c r="F97" s="1573">
        <v>30</v>
      </c>
    </row>
    <row r="98" spans="1:6" s="1569" customFormat="1" ht="36">
      <c r="A98" s="1573">
        <v>38</v>
      </c>
      <c r="B98" s="3786"/>
      <c r="C98" s="1573" t="s">
        <v>1707</v>
      </c>
      <c r="D98" s="1499" t="s">
        <v>1708</v>
      </c>
      <c r="E98" s="1586">
        <v>0.2</v>
      </c>
      <c r="F98" s="1573">
        <v>30</v>
      </c>
    </row>
    <row r="99" spans="1:6" s="1569" customFormat="1" ht="36">
      <c r="A99" s="1573">
        <v>39</v>
      </c>
      <c r="B99" s="3786" t="s">
        <v>1709</v>
      </c>
      <c r="C99" s="1573" t="s">
        <v>1710</v>
      </c>
      <c r="D99" s="1499" t="s">
        <v>1711</v>
      </c>
      <c r="E99" s="1586">
        <v>0.3</v>
      </c>
      <c r="F99" s="1573">
        <v>50</v>
      </c>
    </row>
    <row r="100" spans="1:6" s="1569" customFormat="1" ht="24">
      <c r="A100" s="1573">
        <v>40</v>
      </c>
      <c r="B100" s="3786"/>
      <c r="C100" s="1573" t="s">
        <v>1712</v>
      </c>
      <c r="D100" s="1499" t="s">
        <v>1713</v>
      </c>
      <c r="E100" s="1586">
        <v>0.2</v>
      </c>
      <c r="F100" s="1573">
        <v>30</v>
      </c>
    </row>
    <row r="101" spans="1:6" s="1569" customFormat="1" ht="36">
      <c r="A101" s="1573">
        <v>41</v>
      </c>
      <c r="B101" s="3786"/>
      <c r="C101" s="1573" t="s">
        <v>1714</v>
      </c>
      <c r="D101" s="1499" t="s">
        <v>1711</v>
      </c>
      <c r="E101" s="1586">
        <v>0.2</v>
      </c>
      <c r="F101" s="1573">
        <v>30</v>
      </c>
    </row>
    <row r="102" spans="1:6" s="1569" customFormat="1" ht="48">
      <c r="A102" s="1573">
        <v>42</v>
      </c>
      <c r="B102" s="1573" t="s">
        <v>1715</v>
      </c>
      <c r="C102" s="1499" t="s">
        <v>1716</v>
      </c>
      <c r="D102" s="1499" t="s">
        <v>1717</v>
      </c>
      <c r="E102" s="1586">
        <v>0.2</v>
      </c>
      <c r="F102" s="1573">
        <v>30</v>
      </c>
    </row>
    <row r="103" spans="1:6" s="1569" customFormat="1" ht="24">
      <c r="A103" s="1573">
        <v>43</v>
      </c>
      <c r="B103" s="1573" t="s">
        <v>1718</v>
      </c>
      <c r="C103" s="1573" t="s">
        <v>1719</v>
      </c>
      <c r="D103" s="1499" t="s">
        <v>1720</v>
      </c>
      <c r="E103" s="1586">
        <v>0.2</v>
      </c>
      <c r="F103" s="1573">
        <v>30</v>
      </c>
    </row>
    <row r="104" spans="1:6" s="1569" customFormat="1" ht="36">
      <c r="A104" s="1573">
        <v>44</v>
      </c>
      <c r="B104" s="1573" t="s">
        <v>1721</v>
      </c>
      <c r="C104" s="1573" t="s">
        <v>1722</v>
      </c>
      <c r="D104" s="1499" t="s">
        <v>1723</v>
      </c>
      <c r="E104" s="1586">
        <v>0.2</v>
      </c>
      <c r="F104" s="1573">
        <v>30</v>
      </c>
    </row>
    <row r="105" spans="1:6" s="1569" customFormat="1" ht="36">
      <c r="A105" s="1573">
        <v>45</v>
      </c>
      <c r="B105" s="3786" t="s">
        <v>1724</v>
      </c>
      <c r="C105" s="1573" t="s">
        <v>1725</v>
      </c>
      <c r="D105" s="1499" t="s">
        <v>1726</v>
      </c>
      <c r="E105" s="1586">
        <v>0.2</v>
      </c>
      <c r="F105" s="1573">
        <v>30</v>
      </c>
    </row>
    <row r="106" spans="1:6" s="1569" customFormat="1" ht="36">
      <c r="A106" s="1573">
        <v>46</v>
      </c>
      <c r="B106" s="3786"/>
      <c r="C106" s="1573" t="s">
        <v>1727</v>
      </c>
      <c r="D106" s="1499" t="s">
        <v>1728</v>
      </c>
      <c r="E106" s="1586">
        <v>0.2</v>
      </c>
      <c r="F106" s="1573">
        <v>30</v>
      </c>
    </row>
    <row r="107" spans="1:6" s="1569" customFormat="1" ht="36">
      <c r="A107" s="1573">
        <v>47</v>
      </c>
      <c r="B107" s="3786" t="s">
        <v>1729</v>
      </c>
      <c r="C107" s="1573" t="s">
        <v>1730</v>
      </c>
      <c r="D107" s="1499" t="s">
        <v>1731</v>
      </c>
      <c r="E107" s="1586">
        <v>0.3</v>
      </c>
      <c r="F107" s="1573">
        <v>50</v>
      </c>
    </row>
    <row r="108" spans="1:6" s="1569" customFormat="1" ht="36">
      <c r="A108" s="1573">
        <v>48</v>
      </c>
      <c r="B108" s="3786"/>
      <c r="C108" s="1573" t="s">
        <v>1732</v>
      </c>
      <c r="D108" s="1499" t="s">
        <v>1733</v>
      </c>
      <c r="E108" s="1586">
        <v>0.2</v>
      </c>
      <c r="F108" s="1573">
        <v>30</v>
      </c>
    </row>
    <row r="109" spans="1:6" s="1569" customFormat="1" ht="36">
      <c r="A109" s="1573">
        <v>49</v>
      </c>
      <c r="B109" s="1573" t="s">
        <v>1734</v>
      </c>
      <c r="C109" s="1573" t="s">
        <v>1735</v>
      </c>
      <c r="D109" s="1499" t="s">
        <v>1736</v>
      </c>
      <c r="E109" s="1586">
        <v>0.2</v>
      </c>
      <c r="F109" s="1573">
        <v>30</v>
      </c>
    </row>
    <row r="110" spans="1:6" s="1569" customFormat="1" ht="36">
      <c r="A110" s="1573">
        <v>50</v>
      </c>
      <c r="B110" s="1573" t="s">
        <v>1737</v>
      </c>
      <c r="C110" s="1573" t="s">
        <v>1738</v>
      </c>
      <c r="D110" s="1499" t="s">
        <v>1739</v>
      </c>
      <c r="E110" s="1586">
        <v>0.2</v>
      </c>
      <c r="F110" s="1573">
        <v>30</v>
      </c>
    </row>
    <row r="111" spans="1:6" s="1569" customFormat="1" ht="36">
      <c r="A111" s="1573">
        <v>51</v>
      </c>
      <c r="B111" s="3786" t="s">
        <v>1740</v>
      </c>
      <c r="C111" s="1573" t="s">
        <v>1741</v>
      </c>
      <c r="D111" s="1499" t="s">
        <v>1742</v>
      </c>
      <c r="E111" s="1586">
        <v>0.2</v>
      </c>
      <c r="F111" s="1573">
        <v>30</v>
      </c>
    </row>
    <row r="112" spans="1:6" s="1569" customFormat="1" ht="24">
      <c r="A112" s="1573">
        <v>52</v>
      </c>
      <c r="B112" s="3786"/>
      <c r="C112" s="1573" t="s">
        <v>1743</v>
      </c>
      <c r="D112" s="1499" t="s">
        <v>1744</v>
      </c>
      <c r="E112" s="1586">
        <v>0.2</v>
      </c>
      <c r="F112" s="1573">
        <v>30</v>
      </c>
    </row>
    <row r="113" spans="1:6" s="1569" customFormat="1" ht="24">
      <c r="A113" s="1573">
        <v>53</v>
      </c>
      <c r="B113" s="3786"/>
      <c r="C113" s="1573" t="s">
        <v>1745</v>
      </c>
      <c r="D113" s="1499" t="s">
        <v>1746</v>
      </c>
      <c r="E113" s="1586">
        <v>0.2</v>
      </c>
      <c r="F113" s="1573">
        <v>30</v>
      </c>
    </row>
    <row r="114" spans="1:6" ht="36">
      <c r="A114" s="1573">
        <v>54</v>
      </c>
      <c r="B114" s="1573" t="s">
        <v>1747</v>
      </c>
      <c r="C114" s="1573" t="s">
        <v>1748</v>
      </c>
      <c r="D114" s="1499" t="s">
        <v>1749</v>
      </c>
      <c r="E114" s="1586">
        <v>0.2</v>
      </c>
      <c r="F114" s="1573">
        <v>30</v>
      </c>
    </row>
    <row r="115" spans="1:6" ht="24">
      <c r="A115" s="1573">
        <v>55</v>
      </c>
      <c r="B115" s="1573" t="s">
        <v>1750</v>
      </c>
      <c r="C115" s="1573" t="s">
        <v>1751</v>
      </c>
      <c r="D115" s="1499" t="s">
        <v>1752</v>
      </c>
      <c r="E115" s="1586">
        <v>0.2</v>
      </c>
      <c r="F115" s="1573">
        <v>30</v>
      </c>
    </row>
    <row r="116" spans="1:6" ht="24">
      <c r="A116" s="1573">
        <v>56</v>
      </c>
      <c r="B116" s="3786" t="s">
        <v>1753</v>
      </c>
      <c r="C116" s="1573" t="s">
        <v>1754</v>
      </c>
      <c r="D116" s="1499" t="s">
        <v>1755</v>
      </c>
      <c r="E116" s="1586">
        <v>0.2</v>
      </c>
      <c r="F116" s="1573">
        <v>30</v>
      </c>
    </row>
    <row r="117" spans="1:6" ht="36">
      <c r="A117" s="1573">
        <v>57</v>
      </c>
      <c r="B117" s="3786"/>
      <c r="C117" s="1573" t="s">
        <v>1756</v>
      </c>
      <c r="D117" s="1499" t="s">
        <v>1757</v>
      </c>
      <c r="E117" s="1586">
        <v>0.2</v>
      </c>
      <c r="F117" s="1573">
        <v>30</v>
      </c>
    </row>
    <row r="118" spans="1:6" ht="36">
      <c r="A118" s="1573">
        <v>58</v>
      </c>
      <c r="B118" s="1573" t="s">
        <v>1758</v>
      </c>
      <c r="C118" s="1573" t="s">
        <v>1759</v>
      </c>
      <c r="D118" s="1499" t="s">
        <v>1760</v>
      </c>
      <c r="E118" s="1586">
        <v>0.2</v>
      </c>
      <c r="F118" s="1573">
        <v>30</v>
      </c>
    </row>
    <row r="119" spans="1:6" ht="13.5">
      <c r="A119" s="1573"/>
      <c r="B119" s="1573"/>
      <c r="C119" s="1573" t="s">
        <v>1761</v>
      </c>
      <c r="D119" s="1573"/>
      <c r="E119" s="1586" t="s">
        <v>1571</v>
      </c>
      <c r="F119" s="1573"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1771</v>
      </c>
      <c r="B1" s="1597"/>
      <c r="C1" s="1597"/>
      <c r="D1" s="1597"/>
      <c r="E1" s="1597"/>
      <c r="F1" s="1597"/>
      <c r="G1" s="1597"/>
      <c r="H1" s="1597"/>
      <c r="I1" s="1597"/>
      <c r="J1" s="1597"/>
      <c r="K1" s="1597"/>
      <c r="L1" s="1597"/>
      <c r="M1" s="1597"/>
      <c r="N1" s="1597"/>
    </row>
    <row r="2" spans="1:14">
      <c r="A2" s="1599" t="s">
        <v>1768</v>
      </c>
      <c r="B2" s="1600" t="s">
        <v>1173</v>
      </c>
      <c r="C2" s="1600" t="s">
        <v>1174</v>
      </c>
      <c r="D2" s="1600" t="s">
        <v>1175</v>
      </c>
      <c r="E2" s="1600" t="s">
        <v>1176</v>
      </c>
      <c r="F2" s="1600" t="s">
        <v>1177</v>
      </c>
      <c r="G2" s="1600" t="s">
        <v>1178</v>
      </c>
      <c r="H2" s="1601" t="s">
        <v>1179</v>
      </c>
      <c r="I2" s="1601" t="s">
        <v>1180</v>
      </c>
      <c r="J2" s="1602" t="s">
        <v>1181</v>
      </c>
      <c r="K2" s="1602" t="s">
        <v>1182</v>
      </c>
      <c r="L2" s="1602" t="s">
        <v>1183</v>
      </c>
      <c r="M2" s="1602" t="s">
        <v>1184</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1777</v>
      </c>
      <c r="B103" s="1597"/>
      <c r="C103" s="1597"/>
      <c r="D103" s="1597"/>
      <c r="E103" s="1597"/>
      <c r="F103" s="1597"/>
      <c r="G103" s="1597"/>
      <c r="H103" s="1597"/>
      <c r="I103" s="1597"/>
      <c r="J103" s="1597"/>
      <c r="K103" s="1597"/>
      <c r="L103" s="1597"/>
      <c r="M103" s="1597"/>
      <c r="N103" s="1597"/>
    </row>
    <row r="104" spans="1:14" ht="14.25">
      <c r="A104" s="1599" t="s">
        <v>1768</v>
      </c>
      <c r="B104" s="1600" t="s">
        <v>1173</v>
      </c>
      <c r="C104" s="1600" t="s">
        <v>1174</v>
      </c>
      <c r="D104" s="1600" t="s">
        <v>1175</v>
      </c>
      <c r="E104" s="1600" t="s">
        <v>1176</v>
      </c>
      <c r="F104" s="1600" t="s">
        <v>1177</v>
      </c>
      <c r="G104" s="1600" t="s">
        <v>1178</v>
      </c>
      <c r="H104" s="1601" t="s">
        <v>1179</v>
      </c>
      <c r="I104" s="1601" t="s">
        <v>1180</v>
      </c>
      <c r="J104" s="1602" t="s">
        <v>1181</v>
      </c>
      <c r="K104" s="1602" t="s">
        <v>1182</v>
      </c>
      <c r="L104" s="1602" t="s">
        <v>1183</v>
      </c>
      <c r="M104" s="1602" t="s">
        <v>1184</v>
      </c>
      <c r="N104" s="1597" t="e">
        <f>SUMPRODUCT((A105:A204=ROUNDDOWN(基准地价修正!G3,1))*(B104:M104=基准地价修正!G2)*(B105:M204))</f>
        <v>#DIV/0!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1778</v>
      </c>
      <c r="B205" s="1597"/>
      <c r="C205" s="1597"/>
      <c r="D205" s="1597"/>
      <c r="E205" s="1597"/>
      <c r="F205" s="1597"/>
      <c r="G205" s="1597"/>
      <c r="H205" s="1597"/>
      <c r="I205" s="1597"/>
      <c r="J205" s="1597"/>
      <c r="K205" s="1597"/>
      <c r="L205" s="1597"/>
      <c r="M205" s="1597"/>
    </row>
    <row r="206" spans="1:13">
      <c r="A206" s="1599" t="s">
        <v>1768</v>
      </c>
      <c r="B206" s="1600" t="s">
        <v>1173</v>
      </c>
      <c r="C206" s="1600" t="s">
        <v>1174</v>
      </c>
      <c r="D206" s="1600" t="s">
        <v>1175</v>
      </c>
      <c r="E206" s="1600" t="s">
        <v>1176</v>
      </c>
      <c r="F206" s="1600" t="s">
        <v>1177</v>
      </c>
      <c r="G206" s="1600" t="s">
        <v>1178</v>
      </c>
      <c r="H206" s="1601" t="s">
        <v>1179</v>
      </c>
      <c r="I206" s="1601" t="s">
        <v>1180</v>
      </c>
      <c r="J206" s="1602" t="s">
        <v>1181</v>
      </c>
      <c r="K206" s="1602" t="s">
        <v>1182</v>
      </c>
      <c r="L206" s="1602" t="s">
        <v>1183</v>
      </c>
      <c r="M206" s="1602" t="s">
        <v>1184</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1779</v>
      </c>
      <c r="B307" s="1597"/>
      <c r="C307" s="1597"/>
      <c r="D307" s="1597"/>
      <c r="E307" s="1597"/>
      <c r="F307" s="1597"/>
      <c r="G307" s="1597"/>
      <c r="H307" s="1597"/>
      <c r="I307" s="1597"/>
      <c r="J307" s="1597"/>
      <c r="K307" s="1597"/>
      <c r="L307" s="1597"/>
      <c r="M307" s="1597"/>
    </row>
    <row r="308" spans="1:13">
      <c r="A308" s="1599" t="s">
        <v>1768</v>
      </c>
      <c r="B308" s="1600" t="s">
        <v>1173</v>
      </c>
      <c r="C308" s="1600" t="s">
        <v>1174</v>
      </c>
      <c r="D308" s="1600" t="s">
        <v>1175</v>
      </c>
      <c r="E308" s="1600" t="s">
        <v>1176</v>
      </c>
      <c r="F308" s="1600" t="s">
        <v>1177</v>
      </c>
      <c r="G308" s="1600" t="s">
        <v>1178</v>
      </c>
      <c r="H308" s="1601" t="s">
        <v>1179</v>
      </c>
      <c r="I308" s="1601" t="s">
        <v>1180</v>
      </c>
      <c r="J308" s="1602" t="s">
        <v>1181</v>
      </c>
      <c r="K308" s="1602" t="s">
        <v>1182</v>
      </c>
      <c r="L308" s="1602" t="s">
        <v>1183</v>
      </c>
      <c r="M308" s="1602" t="s">
        <v>1184</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27" sqref="C127:F132"/>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3059</v>
      </c>
    </row>
    <row r="2" spans="1:5" ht="14.25">
      <c r="A2" s="3344" t="s">
        <v>208</v>
      </c>
      <c r="B2" s="3341" t="e">
        <f ca="1">SUMIF(B6:B13,"&lt;&gt;#ref!",B6:B13)</f>
        <v>#DIV/0!</v>
      </c>
      <c r="C2" s="3344" t="s">
        <v>2670</v>
      </c>
      <c r="D2" s="3344" t="s">
        <v>3054</v>
      </c>
      <c r="E2" s="3341" t="e">
        <f ca="1">SUM(E6:E13)</f>
        <v>#REF!</v>
      </c>
    </row>
    <row r="3" spans="1:5" ht="14.25">
      <c r="A3" s="3344" t="s">
        <v>8</v>
      </c>
      <c r="B3" s="3341" t="e">
        <f ca="1">ROUND(B2*10000/E2,0)</f>
        <v>#DIV/0!</v>
      </c>
      <c r="C3" s="3344" t="s">
        <v>2671</v>
      </c>
      <c r="D3" s="3342"/>
      <c r="E3" s="3342"/>
    </row>
    <row r="4" spans="1:5" ht="14.25">
      <c r="A4" s="3345"/>
      <c r="B4" s="3342"/>
      <c r="C4" s="3342"/>
      <c r="D4" s="3342"/>
      <c r="E4" s="3342"/>
    </row>
    <row r="5" spans="1:5" ht="28.5">
      <c r="A5" s="3346" t="s">
        <v>3057</v>
      </c>
      <c r="B5" s="3344" t="s">
        <v>3055</v>
      </c>
      <c r="C5" s="3341"/>
      <c r="D5" s="3342"/>
      <c r="E5" s="3344" t="s">
        <v>3056</v>
      </c>
    </row>
    <row r="6" spans="1:5" ht="14.25">
      <c r="A6" s="3347" t="s">
        <v>3058</v>
      </c>
      <c r="B6" s="3343" t="e">
        <f ca="1">SUMIF(INDIRECT("'"&amp;A6&amp;"'"&amp;"!A:A"),"总价",INDIRECT("'"&amp;A6&amp;"'"&amp;"!B:B"))</f>
        <v>#DIV/0!</v>
      </c>
      <c r="C6" s="3344" t="s">
        <v>2670</v>
      </c>
      <c r="D6" s="3342"/>
      <c r="E6" s="2790">
        <f ca="1">SUMIF(INDIRECT("'"&amp;A6&amp;"'"&amp;"!C:C"),"建筑面积",INDIRECT("'"&amp;A6&amp;"'"&amp;"!D:D"))</f>
        <v>0</v>
      </c>
    </row>
    <row r="7" spans="1:5" ht="14.25">
      <c r="A7" s="3347"/>
      <c r="B7" s="3343" t="e">
        <f ca="1">SUMIF(INDIRECT("'"&amp;A7&amp;"'"&amp;"!A:A"),"总价",INDIRECT("'"&amp;A7&amp;"'"&amp;"!B:B"))</f>
        <v>#REF!</v>
      </c>
      <c r="C7" s="3344" t="s">
        <v>2670</v>
      </c>
      <c r="D7" s="3342"/>
      <c r="E7" s="2790" t="e">
        <f t="shared" ref="E7:E13" ca="1" si="0">SUMIF(INDIRECT("'"&amp;A7&amp;"'"&amp;"!C:C"),"建筑面积",INDIRECT("'"&amp;A7&amp;"'"&amp;"!D:D"))</f>
        <v>#REF!</v>
      </c>
    </row>
    <row r="8" spans="1:5" ht="14.25">
      <c r="A8" s="3347"/>
      <c r="B8" s="3343" t="e">
        <f t="shared" ref="B8:B13" ca="1" si="1">SUMIF(INDIRECT("'"&amp;A8&amp;"'"&amp;"!A:A"),"总价",INDIRECT("'"&amp;A8&amp;"'"&amp;"!B:B"))</f>
        <v>#REF!</v>
      </c>
      <c r="C8" s="3344" t="s">
        <v>2670</v>
      </c>
      <c r="D8" s="3342"/>
      <c r="E8" s="2790" t="e">
        <f t="shared" ca="1" si="0"/>
        <v>#REF!</v>
      </c>
    </row>
    <row r="9" spans="1:5" ht="14.25">
      <c r="A9" s="3347"/>
      <c r="B9" s="3343" t="e">
        <f t="shared" ca="1" si="1"/>
        <v>#REF!</v>
      </c>
      <c r="C9" s="3344" t="s">
        <v>2670</v>
      </c>
      <c r="D9" s="3342"/>
      <c r="E9" s="2790" t="e">
        <f t="shared" ca="1" si="0"/>
        <v>#REF!</v>
      </c>
    </row>
    <row r="10" spans="1:5" ht="14.25">
      <c r="A10" s="3347"/>
      <c r="B10" s="3343" t="e">
        <f t="shared" ca="1" si="1"/>
        <v>#REF!</v>
      </c>
      <c r="C10" s="3344" t="s">
        <v>2670</v>
      </c>
      <c r="D10" s="3342"/>
      <c r="E10" s="2790" t="e">
        <f t="shared" ca="1" si="0"/>
        <v>#REF!</v>
      </c>
    </row>
    <row r="11" spans="1:5" ht="14.25">
      <c r="A11" s="3347"/>
      <c r="B11" s="3343" t="e">
        <f t="shared" ca="1" si="1"/>
        <v>#REF!</v>
      </c>
      <c r="C11" s="3344" t="s">
        <v>2670</v>
      </c>
      <c r="D11" s="3342"/>
      <c r="E11" s="2790" t="e">
        <f t="shared" ca="1" si="0"/>
        <v>#REF!</v>
      </c>
    </row>
    <row r="12" spans="1:5" ht="14.25">
      <c r="A12" s="3347"/>
      <c r="B12" s="3343" t="e">
        <f t="shared" ca="1" si="1"/>
        <v>#REF!</v>
      </c>
      <c r="C12" s="3344" t="s">
        <v>2670</v>
      </c>
      <c r="D12" s="3342"/>
      <c r="E12" s="2790" t="e">
        <f t="shared" ca="1" si="0"/>
        <v>#REF!</v>
      </c>
    </row>
    <row r="13" spans="1:5" ht="14.25">
      <c r="A13" s="3347"/>
      <c r="B13" s="3343" t="e">
        <f t="shared" ca="1" si="1"/>
        <v>#REF!</v>
      </c>
      <c r="C13" s="3344" t="s">
        <v>2670</v>
      </c>
      <c r="D13" s="3342"/>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2029</v>
      </c>
      <c r="B1" s="1964"/>
      <c r="C1" s="1964"/>
      <c r="D1" s="1964"/>
      <c r="E1" s="1964"/>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5"/>
      <c r="C2" s="3435"/>
      <c r="D2" s="3435"/>
      <c r="E2" s="3435"/>
    </row>
    <row r="3" spans="1:5" ht="18.75">
      <c r="A3" s="3436" t="str">
        <f>IF(项目基本情况!B9="房地产市场价值","估价结果一览表（市场价值不需“结果表-1”）","估价结果一览表")</f>
        <v>估价结果一览表</v>
      </c>
      <c r="B3" s="3436"/>
      <c r="C3" s="3436"/>
      <c r="D3" s="3436"/>
      <c r="E3" s="3436"/>
    </row>
    <row r="4" spans="1:5" ht="19.5" thickBot="1">
      <c r="A4" s="1976"/>
      <c r="B4" s="3434" t="s">
        <v>2034</v>
      </c>
      <c r="C4" s="3434"/>
      <c r="D4" s="3434"/>
      <c r="E4" s="1976"/>
    </row>
    <row r="5" spans="1:5" ht="16.5" thickTop="1">
      <c r="A5" s="1964"/>
      <c r="B5" s="3432" t="s">
        <v>2030</v>
      </c>
      <c r="C5" s="1966" t="s">
        <v>2035</v>
      </c>
      <c r="D5" s="1967">
        <f ca="1">结果表!H101</f>
        <v>17113</v>
      </c>
      <c r="E5" s="1964"/>
    </row>
    <row r="6" spans="1:5" ht="15.75">
      <c r="A6" s="1964"/>
      <c r="B6" s="3432"/>
      <c r="C6" s="1966" t="s">
        <v>2872</v>
      </c>
      <c r="D6" s="1967" t="str">
        <f ca="1">NUMBERSTRING(INT(D5*10000),2)&amp;"元整"</f>
        <v>壹亿柒仟壹佰壹拾叁万元整</v>
      </c>
      <c r="E6" s="1964"/>
    </row>
    <row r="7" spans="1:5" ht="15.75">
      <c r="A7" s="1964"/>
      <c r="B7" s="3437"/>
      <c r="C7" s="1968" t="s">
        <v>2036</v>
      </c>
      <c r="D7" s="1969" t="e">
        <f ca="1">结果表!H102</f>
        <v>#DIV/0!</v>
      </c>
      <c r="E7" s="1964"/>
    </row>
    <row r="8" spans="1:5" ht="15.75">
      <c r="A8" s="1964"/>
      <c r="B8" s="3438" t="str">
        <f>结果表!E103</f>
        <v>2.估价师知悉的法定优先受偿款</v>
      </c>
      <c r="C8" s="1970" t="s">
        <v>2037</v>
      </c>
      <c r="D8" s="1969">
        <f>结果表!H103</f>
        <v>0</v>
      </c>
      <c r="E8" s="1964"/>
    </row>
    <row r="9" spans="1:5" ht="15.75">
      <c r="A9" s="1964"/>
      <c r="B9" s="3440"/>
      <c r="C9" s="1966" t="s">
        <v>2872</v>
      </c>
      <c r="D9" s="1967" t="str">
        <f>NUMBERSTRING(INT(D8*10000),2)&amp;"元整"</f>
        <v>零元整</v>
      </c>
      <c r="E9" s="1964"/>
    </row>
    <row r="10" spans="1:5" ht="15">
      <c r="A10" s="1964"/>
      <c r="B10" s="1971" t="s">
        <v>2031</v>
      </c>
      <c r="C10" s="1972" t="s">
        <v>2037</v>
      </c>
      <c r="D10" s="1973">
        <f>结果表!H104</f>
        <v>0</v>
      </c>
      <c r="E10" s="1964"/>
    </row>
    <row r="11" spans="1:5" ht="15">
      <c r="A11" s="1964"/>
      <c r="B11" s="1971" t="s">
        <v>2032</v>
      </c>
      <c r="C11" s="1972" t="s">
        <v>2037</v>
      </c>
      <c r="D11" s="1973">
        <f>结果表!H105</f>
        <v>0</v>
      </c>
      <c r="E11" s="1964"/>
    </row>
    <row r="12" spans="1:5" ht="15">
      <c r="A12" s="1964"/>
      <c r="B12" s="1971" t="s">
        <v>2033</v>
      </c>
      <c r="C12" s="1972" t="s">
        <v>2037</v>
      </c>
      <c r="D12" s="1973">
        <f>结果表!H106</f>
        <v>0</v>
      </c>
      <c r="E12" s="1964"/>
    </row>
    <row r="13" spans="1:5" ht="15.75">
      <c r="A13" s="1964"/>
      <c r="B13" s="3431" t="str">
        <f>结果表!E107</f>
        <v>3.房地产抵押价值</v>
      </c>
      <c r="C13" s="1974" t="s">
        <v>2035</v>
      </c>
      <c r="D13" s="1977">
        <f ca="1">结果表!H107</f>
        <v>17113</v>
      </c>
      <c r="E13" s="1964"/>
    </row>
    <row r="14" spans="1:5" ht="15.75">
      <c r="A14" s="1964"/>
      <c r="B14" s="3432"/>
      <c r="C14" s="1966" t="s">
        <v>2872</v>
      </c>
      <c r="D14" s="1967" t="str">
        <f ca="1">NUMBERSTRING(INT(D13*10000),2)&amp;"元整"</f>
        <v>壹亿柒仟壹佰壹拾叁万元整</v>
      </c>
      <c r="E14" s="1964"/>
    </row>
    <row r="15" spans="1:5" ht="15">
      <c r="A15" s="1964"/>
      <c r="B15" s="3437"/>
      <c r="C15" s="1968" t="s">
        <v>2036</v>
      </c>
      <c r="D15" s="2079">
        <f ca="1">结果表!H108</f>
        <v>49723</v>
      </c>
      <c r="E15" s="1964"/>
    </row>
    <row r="16" spans="1:5" ht="14.25">
      <c r="A16" s="1964"/>
      <c r="B16" s="3438" t="str">
        <f>结果表!E109</f>
        <v>——</v>
      </c>
      <c r="C16" s="1974" t="s">
        <v>2035</v>
      </c>
      <c r="D16" s="2080" t="str">
        <f>结果表!H109</f>
        <v>——</v>
      </c>
      <c r="E16" s="1964"/>
    </row>
    <row r="17" spans="1:5" ht="15.75">
      <c r="A17" s="1964"/>
      <c r="B17" s="3439"/>
      <c r="C17" s="1966" t="s">
        <v>2872</v>
      </c>
      <c r="D17" s="1967" t="e">
        <f>NUMBERSTRING(INT(D16*10000),2)&amp;"元整"</f>
        <v>#VALUE!</v>
      </c>
      <c r="E17" s="1964"/>
    </row>
    <row r="18" spans="1:5" ht="15">
      <c r="A18" s="1964"/>
      <c r="B18" s="3440"/>
      <c r="C18" s="1968" t="s">
        <v>2036</v>
      </c>
      <c r="D18" s="2079" t="str">
        <f>结果表!H110</f>
        <v>——</v>
      </c>
      <c r="E18" s="1964"/>
    </row>
    <row r="19" spans="1:5" ht="15.75">
      <c r="A19" s="1964"/>
      <c r="B19" s="3431" t="str">
        <f>结果表!E111</f>
        <v>——</v>
      </c>
      <c r="C19" s="1974" t="s">
        <v>2035</v>
      </c>
      <c r="D19" s="1969" t="str">
        <f>结果表!H111</f>
        <v>——</v>
      </c>
      <c r="E19" s="1964"/>
    </row>
    <row r="20" spans="1:5" ht="15.75">
      <c r="A20" s="1964"/>
      <c r="B20" s="3432"/>
      <c r="C20" s="1966" t="s">
        <v>2872</v>
      </c>
      <c r="D20" s="1967" t="e">
        <f>NUMBERSTRING(INT(D19*10000),2)&amp;"元整"</f>
        <v>#VALUE!</v>
      </c>
      <c r="E20" s="1964"/>
    </row>
    <row r="21" spans="1:5" ht="15.75" thickBot="1">
      <c r="A21" s="1964"/>
      <c r="B21" s="3433"/>
      <c r="C21" s="2081" t="s">
        <v>2036</v>
      </c>
      <c r="D21" s="2082" t="str">
        <f>结果表!H112</f>
        <v>——</v>
      </c>
      <c r="E21" s="1964"/>
    </row>
    <row r="22" spans="1:5" ht="14.25" thickTop="1">
      <c r="A22" s="1964"/>
      <c r="B22" s="1975" t="s">
        <v>2062</v>
      </c>
      <c r="C22" s="1964"/>
      <c r="D22" s="1964"/>
      <c r="E22" s="1964"/>
    </row>
    <row r="23" spans="1:5">
      <c r="A23" s="1964"/>
      <c r="B23" s="1964"/>
      <c r="C23" s="1964"/>
      <c r="D23" s="1964"/>
      <c r="E23" s="1964"/>
    </row>
    <row r="24" spans="1:5" ht="18.75">
      <c r="A24" s="1995"/>
      <c r="B24" s="1996" t="s">
        <v>2042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7" sqref="C127:F13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800" t="s">
        <v>2711</v>
      </c>
      <c r="C1" s="3800"/>
      <c r="D1" s="3800"/>
      <c r="E1" s="3800"/>
      <c r="F1" s="3800"/>
      <c r="G1" s="3799" t="s">
        <v>2712</v>
      </c>
      <c r="H1" s="3799"/>
      <c r="I1" s="3799"/>
      <c r="J1" s="3799"/>
      <c r="K1" s="3799"/>
      <c r="L1" s="3799"/>
      <c r="N1" s="3799" t="s">
        <v>2713</v>
      </c>
      <c r="O1" s="3799"/>
      <c r="P1" s="3799"/>
      <c r="Q1" s="3799"/>
      <c r="R1" s="2901"/>
      <c r="S1" s="3799" t="s">
        <v>2714</v>
      </c>
      <c r="T1" s="3799"/>
      <c r="U1" s="3799"/>
      <c r="V1" s="3799"/>
      <c r="X1" s="3798" t="s">
        <v>2715</v>
      </c>
      <c r="Y1" s="3799"/>
      <c r="Z1" s="3799"/>
      <c r="AA1" s="3799"/>
      <c r="AB1" s="3799"/>
      <c r="AD1" s="3798" t="s">
        <v>2716</v>
      </c>
      <c r="AE1" s="3799"/>
      <c r="AF1" s="3799"/>
      <c r="AG1" s="3799"/>
      <c r="AH1" s="3799"/>
    </row>
    <row r="2" spans="1:34" s="2902" customFormat="1" ht="14.25" thickBot="1">
      <c r="B2" s="2903" t="s">
        <v>2717</v>
      </c>
      <c r="C2" s="2903" t="s">
        <v>2718</v>
      </c>
      <c r="D2" s="2904" t="s">
        <v>2719</v>
      </c>
      <c r="E2" s="2904" t="s">
        <v>2720</v>
      </c>
      <c r="F2" s="2903" t="s">
        <v>2721</v>
      </c>
      <c r="G2" s="2905"/>
      <c r="H2" s="2906"/>
      <c r="I2" s="2903" t="s">
        <v>2717</v>
      </c>
      <c r="J2" s="2904" t="s">
        <v>3060</v>
      </c>
      <c r="K2" s="2904" t="s">
        <v>1847</v>
      </c>
      <c r="L2" s="2903" t="s">
        <v>2721</v>
      </c>
      <c r="N2" s="2903" t="s">
        <v>2717</v>
      </c>
      <c r="O2" s="2904" t="s">
        <v>3060</v>
      </c>
      <c r="P2" s="2904" t="s">
        <v>1847</v>
      </c>
      <c r="Q2" s="2903" t="s">
        <v>2721</v>
      </c>
      <c r="R2" s="2907"/>
      <c r="S2" s="2903" t="s">
        <v>2717</v>
      </c>
      <c r="T2" s="2904" t="s">
        <v>3060</v>
      </c>
      <c r="U2" s="2904" t="s">
        <v>1847</v>
      </c>
      <c r="V2" s="2903" t="s">
        <v>2721</v>
      </c>
      <c r="X2" s="2903" t="s">
        <v>2717</v>
      </c>
      <c r="Y2" s="2903" t="s">
        <v>2718</v>
      </c>
      <c r="Z2" s="2904" t="s">
        <v>2719</v>
      </c>
      <c r="AA2" s="2904" t="s">
        <v>2720</v>
      </c>
      <c r="AB2" s="2903" t="s">
        <v>2721</v>
      </c>
      <c r="AD2" s="2903" t="s">
        <v>2717</v>
      </c>
      <c r="AE2" s="2903" t="s">
        <v>2718</v>
      </c>
      <c r="AF2" s="2904" t="s">
        <v>2719</v>
      </c>
      <c r="AG2" s="2904" t="s">
        <v>2720</v>
      </c>
      <c r="AH2" s="2903" t="s">
        <v>2721</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2722</v>
      </c>
      <c r="B4" s="2917"/>
      <c r="C4" s="2917"/>
      <c r="D4" s="2917"/>
      <c r="E4" s="2917"/>
      <c r="F4" s="2917"/>
      <c r="G4" s="3801">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2723</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96"/>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2725</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3061</v>
      </c>
      <c r="B6" s="2936">
        <f t="shared" si="2"/>
        <v>419.31181600000002</v>
      </c>
      <c r="C6" s="2936">
        <f t="shared" si="3"/>
        <v>313.95436800000004</v>
      </c>
      <c r="D6" s="2936">
        <f t="shared" si="4"/>
        <v>313.95436800000004</v>
      </c>
      <c r="E6" s="2936">
        <f t="shared" si="5"/>
        <v>596.63028431999999</v>
      </c>
      <c r="F6" s="2936">
        <f t="shared" si="6"/>
        <v>274.74220703999998</v>
      </c>
      <c r="G6" s="3796"/>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2724</v>
      </c>
      <c r="B7" s="2936">
        <f>B8*(1+N7)</f>
        <v>405.524</v>
      </c>
      <c r="C7" s="2936">
        <f>C8*(1+O7)</f>
        <v>307.79840000000002</v>
      </c>
      <c r="D7" s="2936">
        <f>C7</f>
        <v>307.79840000000002</v>
      </c>
      <c r="E7" s="2936">
        <f>E8*(1+P7)</f>
        <v>574.67759999999998</v>
      </c>
      <c r="F7" s="2936">
        <f>F8*(1+Q7)</f>
        <v>270.20280000000002</v>
      </c>
      <c r="G7" s="3797"/>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1162</v>
      </c>
      <c r="B8" s="2928">
        <v>392</v>
      </c>
      <c r="C8" s="2928">
        <v>302</v>
      </c>
      <c r="D8" s="2928">
        <f>C8</f>
        <v>302</v>
      </c>
      <c r="E8" s="2928">
        <v>553</v>
      </c>
      <c r="F8" s="2929">
        <v>266</v>
      </c>
      <c r="G8" s="3801">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1161</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96"/>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1151</v>
      </c>
      <c r="B10" s="2936">
        <f t="shared" si="15"/>
        <v>360.06949782209392</v>
      </c>
      <c r="C10" s="2936">
        <f t="shared" si="15"/>
        <v>289.84672674747821</v>
      </c>
      <c r="D10" s="2936">
        <f t="shared" si="16"/>
        <v>289.84672674747821</v>
      </c>
      <c r="E10" s="2936">
        <f t="shared" si="17"/>
        <v>501.06543001181495</v>
      </c>
      <c r="F10" s="2936">
        <f t="shared" si="17"/>
        <v>256.82882500744967</v>
      </c>
      <c r="G10" s="3796"/>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1160</v>
      </c>
      <c r="B11" s="2936">
        <f t="shared" si="15"/>
        <v>346.720748986128</v>
      </c>
      <c r="C11" s="2936">
        <f t="shared" si="15"/>
        <v>284.30282172386285</v>
      </c>
      <c r="D11" s="2936">
        <f t="shared" si="16"/>
        <v>284.30282172386285</v>
      </c>
      <c r="E11" s="2936">
        <f t="shared" si="17"/>
        <v>479.58023546306947</v>
      </c>
      <c r="F11" s="2936">
        <f t="shared" si="17"/>
        <v>253.25788877571213</v>
      </c>
      <c r="G11" s="3797"/>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1159</v>
      </c>
      <c r="B12" s="2928">
        <v>333</v>
      </c>
      <c r="C12" s="2928">
        <v>277</v>
      </c>
      <c r="D12" s="2928">
        <f t="shared" si="16"/>
        <v>277</v>
      </c>
      <c r="E12" s="2928">
        <v>459</v>
      </c>
      <c r="F12" s="2929">
        <v>249</v>
      </c>
      <c r="G12" s="3795">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1158</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96"/>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1157</v>
      </c>
      <c r="B14" s="2936">
        <f t="shared" si="19"/>
        <v>322.34053690220776</v>
      </c>
      <c r="C14" s="2936">
        <f t="shared" si="19"/>
        <v>271.46160770422546</v>
      </c>
      <c r="D14" s="2936">
        <f t="shared" si="16"/>
        <v>271.46160770422546</v>
      </c>
      <c r="E14" s="2936">
        <f t="shared" si="20"/>
        <v>442.69434542172456</v>
      </c>
      <c r="F14" s="2936">
        <f t="shared" si="20"/>
        <v>241.34030753190925</v>
      </c>
      <c r="G14" s="3796"/>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1156</v>
      </c>
      <c r="B15" s="2936">
        <f t="shared" si="19"/>
        <v>319.87748030386797</v>
      </c>
      <c r="C15" s="2936">
        <f t="shared" si="19"/>
        <v>269.60135833173649</v>
      </c>
      <c r="D15" s="2936">
        <f t="shared" si="16"/>
        <v>269.60135833173649</v>
      </c>
      <c r="E15" s="2936">
        <f t="shared" si="20"/>
        <v>439.18089823583784</v>
      </c>
      <c r="F15" s="2936">
        <f t="shared" si="20"/>
        <v>239.23503918706311</v>
      </c>
      <c r="G15" s="3797"/>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1155</v>
      </c>
      <c r="B16" s="2949">
        <v>318</v>
      </c>
      <c r="C16" s="2949">
        <v>268</v>
      </c>
      <c r="D16" s="2949">
        <f t="shared" si="16"/>
        <v>268</v>
      </c>
      <c r="E16" s="2949">
        <v>437</v>
      </c>
      <c r="F16" s="2950">
        <v>237</v>
      </c>
      <c r="G16" s="3795">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1154</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96"/>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1153</v>
      </c>
      <c r="B18" s="2936">
        <f t="shared" si="21"/>
        <v>314.72141172386546</v>
      </c>
      <c r="C18" s="2936">
        <f t="shared" si="21"/>
        <v>263.03901319069001</v>
      </c>
      <c r="D18" s="2936">
        <f t="shared" si="16"/>
        <v>263.03901319069001</v>
      </c>
      <c r="E18" s="2936">
        <f t="shared" si="22"/>
        <v>433.65745506782821</v>
      </c>
      <c r="F18" s="2936">
        <f t="shared" si="22"/>
        <v>233.23005080045735</v>
      </c>
      <c r="G18" s="3796"/>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1152</v>
      </c>
      <c r="B19" s="2954">
        <f t="shared" si="21"/>
        <v>307.34512863658733</v>
      </c>
      <c r="C19" s="2954">
        <f t="shared" si="21"/>
        <v>257.80556031626975</v>
      </c>
      <c r="D19" s="2954">
        <f t="shared" si="16"/>
        <v>257.80556031626975</v>
      </c>
      <c r="E19" s="2954">
        <f t="shared" si="22"/>
        <v>422.70928459677179</v>
      </c>
      <c r="F19" s="2954">
        <f t="shared" si="22"/>
        <v>229.73803270336617</v>
      </c>
      <c r="G19" s="3797"/>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2726</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2727</v>
      </c>
      <c r="B20" s="2928">
        <v>299</v>
      </c>
      <c r="C20" s="2928">
        <v>252</v>
      </c>
      <c r="D20" s="2928">
        <f t="shared" si="16"/>
        <v>252</v>
      </c>
      <c r="E20" s="2928">
        <v>409</v>
      </c>
      <c r="F20" s="2929">
        <v>227</v>
      </c>
      <c r="G20" s="3802">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2728</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803"/>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2729</v>
      </c>
      <c r="B22" s="2936">
        <f t="shared" si="25"/>
        <v>288.2649053828776</v>
      </c>
      <c r="C22" s="2936">
        <f t="shared" si="25"/>
        <v>243.64564425013293</v>
      </c>
      <c r="D22" s="2936">
        <f t="shared" si="16"/>
        <v>243.64564425013293</v>
      </c>
      <c r="E22" s="2936">
        <f t="shared" si="26"/>
        <v>393.31080825986544</v>
      </c>
      <c r="F22" s="2936">
        <f t="shared" si="26"/>
        <v>223.07903790551154</v>
      </c>
      <c r="G22" s="3803"/>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2730</v>
      </c>
      <c r="B23" s="2936">
        <f t="shared" si="25"/>
        <v>282.50186729015837</v>
      </c>
      <c r="C23" s="2936">
        <f t="shared" si="25"/>
        <v>238.09796174155468</v>
      </c>
      <c r="D23" s="2936">
        <f t="shared" si="16"/>
        <v>238.09796174155468</v>
      </c>
      <c r="E23" s="2936">
        <f t="shared" si="26"/>
        <v>385.33438646014054</v>
      </c>
      <c r="F23" s="2936">
        <f t="shared" si="26"/>
        <v>221.55034055567739</v>
      </c>
      <c r="G23" s="3804"/>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2731</v>
      </c>
      <c r="B24" s="2970">
        <v>278</v>
      </c>
      <c r="C24" s="2970">
        <v>234</v>
      </c>
      <c r="D24" s="2970">
        <f t="shared" si="16"/>
        <v>234</v>
      </c>
      <c r="E24" s="2970">
        <v>379</v>
      </c>
      <c r="F24" s="2971">
        <v>220</v>
      </c>
      <c r="G24" s="3795">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2732</v>
      </c>
      <c r="B25" s="2936">
        <f>B24/(1+N24)</f>
        <v>275.49301357645425</v>
      </c>
      <c r="C25" s="2936">
        <f>C24/(1+O24)</f>
        <v>232.41954707985698</v>
      </c>
      <c r="D25" s="2936">
        <f t="shared" si="16"/>
        <v>232.41954707985698</v>
      </c>
      <c r="E25" s="2936">
        <f t="shared" ref="E25:F27" si="27">E24/(1+P24)</f>
        <v>375.32184591008121</v>
      </c>
      <c r="F25" s="2936">
        <f t="shared" si="27"/>
        <v>218.03766105054513</v>
      </c>
      <c r="G25" s="3796"/>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2733</v>
      </c>
      <c r="B26" s="2936">
        <f>B25/(1+N25)</f>
        <v>275.24529281292263</v>
      </c>
      <c r="C26" s="2936">
        <f>C25/(1+O25)</f>
        <v>231.74747938962707</v>
      </c>
      <c r="D26" s="2936">
        <f t="shared" si="16"/>
        <v>231.74747938962707</v>
      </c>
      <c r="E26" s="2936">
        <f t="shared" si="27"/>
        <v>375.35938184826603</v>
      </c>
      <c r="F26" s="2936">
        <f t="shared" si="27"/>
        <v>216.78033510692495</v>
      </c>
      <c r="G26" s="3796"/>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2734</v>
      </c>
      <c r="B27" s="2936">
        <f>B26/(1+N26)</f>
        <v>275.19025476197027</v>
      </c>
      <c r="C27" s="2972">
        <v>232</v>
      </c>
      <c r="D27" s="2972">
        <f t="shared" si="16"/>
        <v>232</v>
      </c>
      <c r="E27" s="2936">
        <f t="shared" si="27"/>
        <v>375.65990977608692</v>
      </c>
      <c r="F27" s="2936">
        <f t="shared" si="27"/>
        <v>214.12518283971252</v>
      </c>
      <c r="G27" s="3797"/>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2735</v>
      </c>
      <c r="B28" s="2928">
        <v>275</v>
      </c>
      <c r="C28" s="2928">
        <v>232</v>
      </c>
      <c r="D28" s="2928">
        <f t="shared" si="16"/>
        <v>232</v>
      </c>
      <c r="E28" s="2928">
        <v>376</v>
      </c>
      <c r="F28" s="2929">
        <v>213</v>
      </c>
      <c r="G28" s="3795">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2736</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96">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2737</v>
      </c>
      <c r="B30" s="2936">
        <f t="shared" si="28"/>
        <v>275.19335084830601</v>
      </c>
      <c r="C30" s="2936">
        <f t="shared" si="28"/>
        <v>230.18088050139744</v>
      </c>
      <c r="D30" s="2936">
        <f t="shared" si="16"/>
        <v>230.18088050139744</v>
      </c>
      <c r="E30" s="2936">
        <f t="shared" si="29"/>
        <v>377.58482925212331</v>
      </c>
      <c r="F30" s="2936">
        <f t="shared" si="29"/>
        <v>210.90687997847917</v>
      </c>
      <c r="G30" s="3796">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2738</v>
      </c>
      <c r="B31" s="2936">
        <f t="shared" si="28"/>
        <v>276.29854502841971</v>
      </c>
      <c r="C31" s="2936">
        <f t="shared" si="28"/>
        <v>229.79023709833027</v>
      </c>
      <c r="D31" s="2936">
        <f t="shared" si="16"/>
        <v>229.79023709833027</v>
      </c>
      <c r="E31" s="2936">
        <f t="shared" si="29"/>
        <v>379.78759731655936</v>
      </c>
      <c r="F31" s="2936">
        <f t="shared" si="29"/>
        <v>211.32953905659235</v>
      </c>
      <c r="G31" s="3797">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2739</v>
      </c>
      <c r="B32" s="2928">
        <v>269</v>
      </c>
      <c r="C32" s="2928">
        <v>221</v>
      </c>
      <c r="D32" s="2928">
        <f t="shared" si="16"/>
        <v>221</v>
      </c>
      <c r="E32" s="2928">
        <v>373</v>
      </c>
      <c r="F32" s="2929">
        <v>196</v>
      </c>
      <c r="G32" s="3795">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2740</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96">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2741</v>
      </c>
      <c r="B34" s="2936">
        <f t="shared" si="30"/>
        <v>242.95398227588385</v>
      </c>
      <c r="C34" s="2936">
        <f t="shared" si="30"/>
        <v>199.59137053614126</v>
      </c>
      <c r="D34" s="2936">
        <f t="shared" si="16"/>
        <v>199.59137053614126</v>
      </c>
      <c r="E34" s="2936">
        <f t="shared" si="31"/>
        <v>335.92189522342125</v>
      </c>
      <c r="F34" s="2936">
        <f t="shared" si="31"/>
        <v>183.10139991109489</v>
      </c>
      <c r="G34" s="3796">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2742</v>
      </c>
      <c r="B35" s="2936">
        <f t="shared" si="30"/>
        <v>232.06990378821649</v>
      </c>
      <c r="C35" s="2936">
        <f t="shared" si="30"/>
        <v>192.74878854286936</v>
      </c>
      <c r="D35" s="2936">
        <f t="shared" si="16"/>
        <v>192.74878854286936</v>
      </c>
      <c r="E35" s="2936">
        <f t="shared" si="31"/>
        <v>319.71247284992984</v>
      </c>
      <c r="F35" s="2936">
        <f t="shared" si="31"/>
        <v>175.67053622862409</v>
      </c>
      <c r="G35" s="3797">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2743</v>
      </c>
      <c r="B36" s="2928">
        <v>220</v>
      </c>
      <c r="C36" s="2928">
        <v>187</v>
      </c>
      <c r="D36" s="2928">
        <f t="shared" si="16"/>
        <v>187</v>
      </c>
      <c r="E36" s="2928">
        <v>301</v>
      </c>
      <c r="F36" s="2929">
        <v>168</v>
      </c>
      <c r="G36" s="3795">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2744</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96">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2745</v>
      </c>
      <c r="B38" s="2936">
        <f t="shared" si="32"/>
        <v>210.630522469011</v>
      </c>
      <c r="C38" s="2936">
        <f t="shared" si="32"/>
        <v>181.69567812247232</v>
      </c>
      <c r="D38" s="2936">
        <f t="shared" si="16"/>
        <v>181.69567812247232</v>
      </c>
      <c r="E38" s="2936">
        <f t="shared" si="33"/>
        <v>286.13517466736738</v>
      </c>
      <c r="F38" s="2936">
        <f t="shared" si="33"/>
        <v>165.47535084591149</v>
      </c>
      <c r="G38" s="3796">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2746</v>
      </c>
      <c r="B39" s="2936">
        <f t="shared" si="32"/>
        <v>208.83454537875372</v>
      </c>
      <c r="C39" s="2936">
        <f t="shared" si="32"/>
        <v>183.77230517090351</v>
      </c>
      <c r="D39" s="2936">
        <f t="shared" si="16"/>
        <v>183.77230517090351</v>
      </c>
      <c r="E39" s="2936">
        <f t="shared" si="33"/>
        <v>281.10342338870947</v>
      </c>
      <c r="F39" s="2936">
        <f t="shared" si="33"/>
        <v>168.97309388942256</v>
      </c>
      <c r="G39" s="3797">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2747</v>
      </c>
      <c r="B40" s="2970">
        <v>214</v>
      </c>
      <c r="C40" s="2970">
        <v>188</v>
      </c>
      <c r="D40" s="2970">
        <f t="shared" si="16"/>
        <v>188</v>
      </c>
      <c r="E40" s="2970">
        <v>289</v>
      </c>
      <c r="F40" s="2971">
        <v>166</v>
      </c>
      <c r="G40" s="3795">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2748</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96">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2749</v>
      </c>
      <c r="B42" s="2936">
        <f t="shared" si="34"/>
        <v>206.31694671589116</v>
      </c>
      <c r="C42" s="2936">
        <f t="shared" si="34"/>
        <v>183.61041121036101</v>
      </c>
      <c r="D42" s="2936">
        <f t="shared" si="16"/>
        <v>183.61041121036101</v>
      </c>
      <c r="E42" s="2936">
        <f t="shared" si="35"/>
        <v>276.66850301795557</v>
      </c>
      <c r="F42" s="2936">
        <f t="shared" si="35"/>
        <v>165.1360938278614</v>
      </c>
      <c r="G42" s="3796">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2750</v>
      </c>
      <c r="B43" s="2973">
        <f t="shared" si="34"/>
        <v>196.62341248059772</v>
      </c>
      <c r="C43" s="2973">
        <f t="shared" si="34"/>
        <v>170.99125648199012</v>
      </c>
      <c r="D43" s="2973">
        <f t="shared" si="16"/>
        <v>170.99125648199012</v>
      </c>
      <c r="E43" s="2973">
        <f t="shared" si="35"/>
        <v>266.07857570490052</v>
      </c>
      <c r="F43" s="2973">
        <f t="shared" si="35"/>
        <v>154.53499328828505</v>
      </c>
      <c r="G43" s="3797">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2751</v>
      </c>
      <c r="B44" s="2928">
        <v>188</v>
      </c>
      <c r="C44" s="2928">
        <v>165</v>
      </c>
      <c r="D44" s="2928">
        <f t="shared" si="16"/>
        <v>165</v>
      </c>
      <c r="E44" s="2928">
        <v>254</v>
      </c>
      <c r="F44" s="2929">
        <v>148</v>
      </c>
      <c r="G44" s="3795">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2752</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96">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2753</v>
      </c>
      <c r="B46" s="2936">
        <f t="shared" si="38"/>
        <v>168.82017748715555</v>
      </c>
      <c r="C46" s="2936">
        <f t="shared" si="38"/>
        <v>148.06267029972753</v>
      </c>
      <c r="D46" s="2936">
        <f t="shared" si="16"/>
        <v>148.06267029972753</v>
      </c>
      <c r="E46" s="2936">
        <f t="shared" si="39"/>
        <v>216.46288379323747</v>
      </c>
      <c r="F46" s="2936">
        <f t="shared" si="39"/>
        <v>134.23529411764704</v>
      </c>
      <c r="G46" s="3796">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2754</v>
      </c>
      <c r="B47" s="2936">
        <f t="shared" si="38"/>
        <v>163.84913591779542</v>
      </c>
      <c r="C47" s="2936">
        <f t="shared" si="38"/>
        <v>145.0283378746594</v>
      </c>
      <c r="D47" s="2936">
        <f t="shared" si="16"/>
        <v>145.0283378746594</v>
      </c>
      <c r="E47" s="2936">
        <f t="shared" si="39"/>
        <v>204.95180722891567</v>
      </c>
      <c r="F47" s="2936">
        <f t="shared" si="39"/>
        <v>125.95920303605313</v>
      </c>
      <c r="G47" s="3797">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2755</v>
      </c>
      <c r="B48" s="2949">
        <v>159</v>
      </c>
      <c r="C48" s="2949">
        <v>141</v>
      </c>
      <c r="D48" s="2949">
        <f t="shared" si="16"/>
        <v>141</v>
      </c>
      <c r="E48" s="2949">
        <v>195</v>
      </c>
      <c r="F48" s="2950">
        <v>122</v>
      </c>
      <c r="G48" s="3795">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2756</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96">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2757</v>
      </c>
      <c r="B50" s="2936">
        <f t="shared" si="42"/>
        <v>146.57412060301507</v>
      </c>
      <c r="C50" s="2936">
        <f t="shared" si="42"/>
        <v>136.46831955922866</v>
      </c>
      <c r="D50" s="2936">
        <f t="shared" si="16"/>
        <v>136.46831955922866</v>
      </c>
      <c r="E50" s="2936">
        <f t="shared" si="43"/>
        <v>166.73864894795128</v>
      </c>
      <c r="F50" s="2936">
        <f t="shared" si="43"/>
        <v>115.05882352941177</v>
      </c>
      <c r="G50" s="3796">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2758</v>
      </c>
      <c r="B51" s="2936">
        <f t="shared" si="42"/>
        <v>144.04145728643215</v>
      </c>
      <c r="C51" s="2936">
        <f t="shared" si="42"/>
        <v>136.12396694214877</v>
      </c>
      <c r="D51" s="2936">
        <f t="shared" si="16"/>
        <v>136.12396694214877</v>
      </c>
      <c r="E51" s="2936">
        <f t="shared" si="43"/>
        <v>158.32225913621264</v>
      </c>
      <c r="F51" s="2936">
        <f t="shared" si="43"/>
        <v>114.04278074866311</v>
      </c>
      <c r="G51" s="3797">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2759</v>
      </c>
      <c r="B52" s="2949">
        <v>138</v>
      </c>
      <c r="C52" s="2949">
        <v>131</v>
      </c>
      <c r="D52" s="2949">
        <f t="shared" si="16"/>
        <v>131</v>
      </c>
      <c r="E52" s="2949">
        <v>155</v>
      </c>
      <c r="F52" s="2950">
        <v>114</v>
      </c>
      <c r="G52" s="3795">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2760</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96">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2761</v>
      </c>
      <c r="B54" s="2936">
        <f t="shared" si="46"/>
        <v>124.29032258064517</v>
      </c>
      <c r="C54" s="2936">
        <f t="shared" si="46"/>
        <v>123.8968609865471</v>
      </c>
      <c r="D54" s="2936">
        <f t="shared" si="16"/>
        <v>123.8968609865471</v>
      </c>
      <c r="E54" s="2936">
        <f t="shared" si="47"/>
        <v>138.00507614213197</v>
      </c>
      <c r="F54" s="2936">
        <f t="shared" si="47"/>
        <v>107.96106557377048</v>
      </c>
      <c r="G54" s="3796">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2762</v>
      </c>
      <c r="B55" s="2936">
        <f t="shared" si="46"/>
        <v>122.57204301075269</v>
      </c>
      <c r="C55" s="2936">
        <f t="shared" si="46"/>
        <v>123.4932735426009</v>
      </c>
      <c r="D55" s="2936">
        <f t="shared" si="16"/>
        <v>123.4932735426009</v>
      </c>
      <c r="E55" s="2936">
        <f t="shared" si="47"/>
        <v>129.82233502538071</v>
      </c>
      <c r="F55" s="2936">
        <f t="shared" si="47"/>
        <v>107.39446721311475</v>
      </c>
      <c r="G55" s="3797">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2763</v>
      </c>
      <c r="B56" s="2970">
        <v>121</v>
      </c>
      <c r="C56" s="2970">
        <v>122</v>
      </c>
      <c r="D56" s="2970">
        <f t="shared" si="16"/>
        <v>122</v>
      </c>
      <c r="E56" s="2970">
        <v>124</v>
      </c>
      <c r="F56" s="2971">
        <v>107</v>
      </c>
      <c r="G56" s="3795">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2764</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96">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2765</v>
      </c>
      <c r="B58" s="2936">
        <f t="shared" si="50"/>
        <v>116.99099099099099</v>
      </c>
      <c r="C58" s="2936">
        <f t="shared" si="50"/>
        <v>118.84848484848486</v>
      </c>
      <c r="D58" s="2936">
        <f t="shared" si="16"/>
        <v>118.84848484848486</v>
      </c>
      <c r="E58" s="2936">
        <f t="shared" si="51"/>
        <v>117.60960960960961</v>
      </c>
      <c r="F58" s="2936">
        <f t="shared" si="51"/>
        <v>104</v>
      </c>
      <c r="G58" s="3796">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2766</v>
      </c>
      <c r="B59" s="2973">
        <f t="shared" si="50"/>
        <v>112.48648648648648</v>
      </c>
      <c r="C59" s="2973">
        <f t="shared" si="50"/>
        <v>115.21212121212122</v>
      </c>
      <c r="D59" s="2973">
        <f t="shared" si="16"/>
        <v>115.21212121212122</v>
      </c>
      <c r="E59" s="2973">
        <f t="shared" si="51"/>
        <v>110.4024024024024</v>
      </c>
      <c r="F59" s="2973">
        <f t="shared" si="51"/>
        <v>104</v>
      </c>
      <c r="G59" s="3797">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2767</v>
      </c>
      <c r="B60" s="2991">
        <v>111</v>
      </c>
      <c r="C60" s="2991">
        <v>114</v>
      </c>
      <c r="D60" s="2991">
        <f t="shared" si="16"/>
        <v>114</v>
      </c>
      <c r="E60" s="2991">
        <v>108</v>
      </c>
      <c r="F60" s="2992">
        <v>104</v>
      </c>
      <c r="G60" s="3795">
        <v>2003</v>
      </c>
      <c r="H60" s="2981">
        <v>4</v>
      </c>
      <c r="I60" s="2993"/>
      <c r="J60" s="2993"/>
      <c r="K60" s="2993"/>
      <c r="L60" s="2993"/>
      <c r="N60" s="2994"/>
      <c r="O60" s="2993"/>
      <c r="P60" s="2993"/>
      <c r="Q60" s="2993"/>
      <c r="S60" s="2994"/>
      <c r="T60" s="2993"/>
      <c r="U60" s="2993"/>
      <c r="V60" s="2993"/>
      <c r="X60" s="2985"/>
      <c r="Y60" s="2985"/>
      <c r="Z60" s="2985"/>
    </row>
    <row r="61" spans="1:26">
      <c r="A61" s="2916" t="s">
        <v>2768</v>
      </c>
      <c r="B61" s="2995">
        <f t="shared" ref="B61:C63" si="52">B62+(B$60-B$64)/4</f>
        <v>109.75</v>
      </c>
      <c r="C61" s="2995">
        <f t="shared" si="52"/>
        <v>112.25</v>
      </c>
      <c r="D61" s="2995">
        <f t="shared" si="16"/>
        <v>112.25</v>
      </c>
      <c r="E61" s="2995">
        <f t="shared" ref="E61:F63" si="53">E62+(E$60-E$64)/4</f>
        <v>107.25</v>
      </c>
      <c r="F61" s="2995">
        <f t="shared" si="53"/>
        <v>103.5</v>
      </c>
      <c r="G61" s="3796">
        <v>2003</v>
      </c>
      <c r="H61" s="2946">
        <v>3</v>
      </c>
      <c r="I61" s="2993"/>
      <c r="J61" s="2993"/>
      <c r="K61" s="2993"/>
      <c r="L61" s="2993"/>
      <c r="X61" s="2985"/>
      <c r="Y61" s="2985"/>
      <c r="Z61" s="2985"/>
    </row>
    <row r="62" spans="1:26">
      <c r="A62" s="2916" t="s">
        <v>2769</v>
      </c>
      <c r="B62" s="2995">
        <f t="shared" si="52"/>
        <v>108.5</v>
      </c>
      <c r="C62" s="2995">
        <f t="shared" si="52"/>
        <v>110.5</v>
      </c>
      <c r="D62" s="2995">
        <f t="shared" si="16"/>
        <v>110.5</v>
      </c>
      <c r="E62" s="2995">
        <f t="shared" si="53"/>
        <v>106.5</v>
      </c>
      <c r="F62" s="2995">
        <f t="shared" si="53"/>
        <v>103</v>
      </c>
      <c r="G62" s="3796">
        <v>2003</v>
      </c>
      <c r="H62" s="2922">
        <v>2</v>
      </c>
      <c r="I62" s="2993"/>
      <c r="J62" s="2993"/>
      <c r="K62" s="2993"/>
      <c r="L62" s="2993"/>
      <c r="X62" s="2985"/>
      <c r="Y62" s="2985"/>
      <c r="Z62" s="2985"/>
    </row>
    <row r="63" spans="1:26" ht="13.5" thickBot="1">
      <c r="A63" s="2916" t="s">
        <v>2770</v>
      </c>
      <c r="B63" s="2995">
        <f t="shared" si="52"/>
        <v>107.25</v>
      </c>
      <c r="C63" s="2995">
        <f t="shared" si="52"/>
        <v>108.75</v>
      </c>
      <c r="D63" s="2995">
        <f t="shared" si="16"/>
        <v>108.75</v>
      </c>
      <c r="E63" s="2995">
        <f t="shared" si="53"/>
        <v>105.75</v>
      </c>
      <c r="F63" s="2995">
        <f t="shared" si="53"/>
        <v>102.5</v>
      </c>
      <c r="G63" s="3797">
        <v>2003</v>
      </c>
      <c r="H63" s="2996">
        <v>1</v>
      </c>
      <c r="I63" s="2993"/>
      <c r="J63" s="2993"/>
      <c r="K63" s="2993"/>
      <c r="L63" s="2993"/>
      <c r="S63" s="2931"/>
      <c r="T63" s="2932"/>
      <c r="U63" s="2932"/>
      <c r="X63" s="2985"/>
      <c r="Y63" s="2985"/>
      <c r="Z63" s="2985"/>
    </row>
    <row r="64" spans="1:26" ht="13.5" thickBot="1">
      <c r="A64" s="2916" t="s">
        <v>2771</v>
      </c>
      <c r="B64" s="2997">
        <v>106</v>
      </c>
      <c r="C64" s="2997">
        <v>107</v>
      </c>
      <c r="D64" s="2997">
        <f t="shared" si="16"/>
        <v>107</v>
      </c>
      <c r="E64" s="2997">
        <v>105</v>
      </c>
      <c r="F64" s="2998">
        <v>102</v>
      </c>
      <c r="G64" s="3795">
        <v>2002</v>
      </c>
      <c r="H64" s="2941">
        <v>4</v>
      </c>
      <c r="I64" s="2993"/>
      <c r="J64" s="2993"/>
      <c r="K64" s="2993"/>
      <c r="L64" s="2993"/>
      <c r="N64" s="2994"/>
      <c r="O64" s="2993"/>
      <c r="P64" s="2993"/>
      <c r="Q64" s="2993"/>
      <c r="S64" s="2994"/>
      <c r="T64" s="2993"/>
      <c r="U64" s="2993"/>
      <c r="V64" s="2993"/>
      <c r="X64" s="2985"/>
      <c r="Y64" s="2985"/>
      <c r="Z64" s="2985"/>
    </row>
    <row r="65" spans="1:26">
      <c r="A65" s="2916" t="s">
        <v>2772</v>
      </c>
      <c r="B65" s="2995">
        <f t="shared" ref="B65:C67" si="54">B66+(B$64-B$68)/4</f>
        <v>105</v>
      </c>
      <c r="C65" s="2995">
        <f t="shared" si="54"/>
        <v>106</v>
      </c>
      <c r="D65" s="2995">
        <f t="shared" si="16"/>
        <v>106</v>
      </c>
      <c r="E65" s="2995">
        <f t="shared" ref="E65:F67" si="55">E66+(E$64-E$68)/4</f>
        <v>104.5</v>
      </c>
      <c r="F65" s="2995">
        <f t="shared" si="55"/>
        <v>101.5</v>
      </c>
      <c r="G65" s="3796">
        <v>2002</v>
      </c>
      <c r="H65" s="2946">
        <v>3</v>
      </c>
      <c r="I65" s="2993"/>
      <c r="J65" s="2993"/>
      <c r="K65" s="2993"/>
      <c r="L65" s="2993"/>
      <c r="X65" s="2985"/>
      <c r="Y65" s="2985"/>
      <c r="Z65" s="2985"/>
    </row>
    <row r="66" spans="1:26">
      <c r="A66" s="2916" t="s">
        <v>2773</v>
      </c>
      <c r="B66" s="2995">
        <f t="shared" si="54"/>
        <v>104</v>
      </c>
      <c r="C66" s="2995">
        <f t="shared" si="54"/>
        <v>105</v>
      </c>
      <c r="D66" s="2995">
        <f t="shared" si="16"/>
        <v>105</v>
      </c>
      <c r="E66" s="2995">
        <f t="shared" si="55"/>
        <v>104</v>
      </c>
      <c r="F66" s="2995">
        <f t="shared" si="55"/>
        <v>101</v>
      </c>
      <c r="G66" s="3796">
        <v>2002</v>
      </c>
      <c r="H66" s="2922">
        <v>2</v>
      </c>
      <c r="I66" s="2993"/>
      <c r="J66" s="2993"/>
      <c r="K66" s="2993"/>
      <c r="L66" s="2993"/>
      <c r="X66" s="2985"/>
      <c r="Y66" s="2985"/>
      <c r="Z66" s="2985"/>
    </row>
    <row r="67" spans="1:26" s="2957" customFormat="1" ht="13.5" thickBot="1">
      <c r="A67" s="2953" t="s">
        <v>2774</v>
      </c>
      <c r="B67" s="2999">
        <f t="shared" si="54"/>
        <v>103</v>
      </c>
      <c r="C67" s="2999">
        <f t="shared" si="54"/>
        <v>104</v>
      </c>
      <c r="D67" s="2999">
        <f t="shared" si="16"/>
        <v>104</v>
      </c>
      <c r="E67" s="2999">
        <f t="shared" si="55"/>
        <v>103.5</v>
      </c>
      <c r="F67" s="2999">
        <f t="shared" si="55"/>
        <v>100.5</v>
      </c>
      <c r="G67" s="3797">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2775</v>
      </c>
      <c r="G70" s="3009"/>
      <c r="N70" s="3009"/>
      <c r="S70" s="3009"/>
    </row>
    <row r="71" spans="1:26" s="3008" customFormat="1">
      <c r="A71" s="3008" t="s">
        <v>2776</v>
      </c>
      <c r="G71" s="3009"/>
      <c r="N71" s="3009"/>
      <c r="S71" s="3009"/>
    </row>
    <row r="72" spans="1:26" s="3008" customFormat="1">
      <c r="A72" s="3008" t="s">
        <v>2777</v>
      </c>
      <c r="G72" s="3009"/>
      <c r="I72" s="3010"/>
      <c r="J72" s="3010"/>
      <c r="K72" s="3010"/>
      <c r="L72" s="3010"/>
      <c r="N72" s="3011"/>
      <c r="O72" s="3010"/>
      <c r="P72" s="3010"/>
      <c r="Q72" s="3010"/>
      <c r="S72" s="3011"/>
      <c r="T72" s="3010"/>
      <c r="U72" s="3010"/>
      <c r="V72" s="3010"/>
    </row>
    <row r="73" spans="1:26" s="3008" customFormat="1">
      <c r="A73" s="3008" t="s">
        <v>2778</v>
      </c>
      <c r="G73" s="3009"/>
      <c r="N73" s="3009"/>
      <c r="S73" s="3009"/>
    </row>
    <row r="80" spans="1:26" ht="13.5" thickBot="1"/>
    <row r="81" spans="14:22" s="2930" customFormat="1">
      <c r="N81" s="2945"/>
      <c r="S81" s="3012" t="s">
        <v>2779</v>
      </c>
      <c r="T81" s="3013" t="s">
        <v>2780</v>
      </c>
      <c r="U81" s="3013" t="s">
        <v>2781</v>
      </c>
      <c r="V81" s="3013" t="s">
        <v>2782</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29840</v>
      </c>
      <c r="C2" s="85" t="s">
        <v>867</v>
      </c>
      <c r="D2" s="575"/>
      <c r="E2" s="575"/>
      <c r="F2" s="575"/>
      <c r="G2" s="575"/>
    </row>
    <row r="3" spans="1:7" s="576" customFormat="1" ht="18" customHeight="1" thickBot="1">
      <c r="A3" s="579" t="s">
        <v>819</v>
      </c>
      <c r="B3" s="580">
        <f ca="1">ROUND(B2*10000/'数据-汇总表'!E3,0)</f>
        <v>86702</v>
      </c>
      <c r="C3" s="85" t="s">
        <v>868</v>
      </c>
      <c r="D3" s="575"/>
      <c r="E3" s="575"/>
      <c r="F3" s="575"/>
      <c r="G3" s="575"/>
    </row>
    <row r="4" spans="1:7" s="584" customFormat="1" ht="15.75">
      <c r="A4" s="581" t="s">
        <v>820</v>
      </c>
      <c r="B4" s="582"/>
      <c r="C4" s="582"/>
      <c r="D4" s="582"/>
      <c r="E4" s="582"/>
      <c r="F4" s="582"/>
      <c r="G4" s="583"/>
    </row>
    <row r="5" spans="1:7" s="590" customFormat="1" ht="13.5" customHeight="1">
      <c r="A5" s="631" t="s">
        <v>2506</v>
      </c>
      <c r="B5" s="586" t="s">
        <v>821</v>
      </c>
      <c r="C5" s="587">
        <f>C6+C7+C8</f>
        <v>20000</v>
      </c>
      <c r="D5" s="587" t="s">
        <v>822</v>
      </c>
      <c r="E5" s="588" t="s">
        <v>823</v>
      </c>
      <c r="F5" s="588" t="s">
        <v>824</v>
      </c>
      <c r="G5" s="589"/>
    </row>
    <row r="6" spans="1:7" s="590" customFormat="1" ht="13.5" customHeight="1">
      <c r="A6" s="1804" t="s">
        <v>1923</v>
      </c>
      <c r="B6" s="591" t="s">
        <v>825</v>
      </c>
      <c r="C6" s="592">
        <v>20000</v>
      </c>
      <c r="D6" s="593"/>
      <c r="E6" s="594"/>
      <c r="F6" s="594"/>
      <c r="G6" s="595"/>
    </row>
    <row r="7" spans="1:7" s="590" customFormat="1" ht="13.5" customHeight="1">
      <c r="A7" s="1804" t="s">
        <v>1924</v>
      </c>
      <c r="B7" s="591" t="s">
        <v>345</v>
      </c>
      <c r="C7" s="596">
        <f>ROUND(C6*F7,0)</f>
        <v>0</v>
      </c>
      <c r="D7" s="596"/>
      <c r="E7" s="594"/>
      <c r="F7" s="597">
        <f>'数据-取费表'!B48+'数据-取费表'!B49</f>
        <v>0</v>
      </c>
      <c r="G7" s="595"/>
    </row>
    <row r="8" spans="1:7" s="599" customFormat="1">
      <c r="A8" s="1804" t="s">
        <v>1925</v>
      </c>
      <c r="B8" s="591" t="s">
        <v>826</v>
      </c>
      <c r="C8" s="596" t="str">
        <f>IF(G8="已包含在土地购买价格中","0",'数据-取费表'!B29)</f>
        <v>0</v>
      </c>
      <c r="D8" s="598"/>
      <c r="E8" s="596"/>
      <c r="F8" s="597"/>
      <c r="G8" s="84" t="s">
        <v>2683</v>
      </c>
    </row>
    <row r="9" spans="1:7" s="590" customFormat="1" ht="13.5" customHeight="1">
      <c r="A9" s="1805" t="s">
        <v>1932</v>
      </c>
      <c r="B9" s="600" t="s">
        <v>827</v>
      </c>
      <c r="C9" s="601">
        <f>ROUND(D9*E9/10000,0)</f>
        <v>0</v>
      </c>
      <c r="D9" s="1909">
        <f>'数据-汇总表'!E5</f>
        <v>0</v>
      </c>
      <c r="E9" s="601">
        <f>'数据-取费表'!B27</f>
        <v>0</v>
      </c>
      <c r="F9" s="597"/>
      <c r="G9" s="602"/>
    </row>
    <row r="10" spans="1:7" s="590" customFormat="1" ht="13.5" customHeight="1">
      <c r="A10" s="1805" t="s">
        <v>1933</v>
      </c>
      <c r="B10" s="600" t="s">
        <v>828</v>
      </c>
      <c r="C10" s="601">
        <f>ROUND(D10*E10/10000,0)</f>
        <v>69</v>
      </c>
      <c r="D10" s="1909">
        <f>'数据-汇总表'!E6</f>
        <v>3441.66</v>
      </c>
      <c r="E10" s="601">
        <f>'数据-取费表'!B28</f>
        <v>200</v>
      </c>
      <c r="F10" s="597"/>
      <c r="G10" s="602"/>
    </row>
    <row r="11" spans="1:7" s="590" customFormat="1" ht="13.5" hidden="1" customHeight="1">
      <c r="A11" s="603" t="s">
        <v>42</v>
      </c>
      <c r="B11" s="591" t="s">
        <v>829</v>
      </c>
      <c r="C11" s="587"/>
      <c r="D11" s="1911"/>
      <c r="E11" s="594"/>
      <c r="F11" s="594"/>
      <c r="G11" s="595"/>
    </row>
    <row r="12" spans="1:7" s="590" customFormat="1" ht="13.5" hidden="1" customHeight="1">
      <c r="A12" s="603" t="s">
        <v>43</v>
      </c>
      <c r="B12" s="591" t="s">
        <v>830</v>
      </c>
      <c r="C12" s="587">
        <v>0</v>
      </c>
      <c r="D12" s="1911"/>
      <c r="E12" s="604"/>
      <c r="F12" s="597">
        <v>3.0499999999999999E-2</v>
      </c>
      <c r="G12" s="595"/>
    </row>
    <row r="13" spans="1:7" s="590" customFormat="1" ht="13.5" hidden="1" customHeight="1">
      <c r="A13" s="603" t="s">
        <v>44</v>
      </c>
      <c r="B13" s="591" t="s">
        <v>831</v>
      </c>
      <c r="C13" s="587"/>
      <c r="D13" s="1911"/>
      <c r="E13" s="594"/>
      <c r="F13" s="594"/>
      <c r="G13" s="595"/>
    </row>
    <row r="14" spans="1:7" s="590" customFormat="1" ht="13.5" hidden="1" customHeight="1">
      <c r="A14" s="603" t="s">
        <v>45</v>
      </c>
      <c r="B14" s="591" t="s">
        <v>826</v>
      </c>
      <c r="C14" s="587"/>
      <c r="D14" s="1911"/>
      <c r="E14" s="594"/>
      <c r="F14" s="594"/>
      <c r="G14" s="595" t="s">
        <v>832</v>
      </c>
    </row>
    <row r="15" spans="1:7" s="590" customFormat="1" ht="13.5" hidden="1" customHeight="1">
      <c r="A15" s="603" t="s">
        <v>46</v>
      </c>
      <c r="B15" s="591" t="s">
        <v>833</v>
      </c>
      <c r="C15" s="596"/>
      <c r="D15" s="1911"/>
      <c r="E15" s="594"/>
      <c r="F15" s="594"/>
      <c r="G15" s="595" t="s">
        <v>834</v>
      </c>
    </row>
    <row r="16" spans="1:7"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2507</v>
      </c>
      <c r="B19" s="586" t="s">
        <v>845</v>
      </c>
      <c r="C19" s="587">
        <f>IF(G19="已包含在土地取得成本中","0",ROUND(D19*E19/10000,0))</f>
        <v>69</v>
      </c>
      <c r="D19" s="1913">
        <f>'数据-汇总表'!E3</f>
        <v>3441.66</v>
      </c>
      <c r="E19" s="587">
        <f>'数据-取费表'!B31</f>
        <v>200</v>
      </c>
      <c r="F19" s="607"/>
      <c r="G19" s="84" t="s">
        <v>2529</v>
      </c>
    </row>
    <row r="20" spans="1:7" s="590" customFormat="1" ht="13.5" customHeight="1">
      <c r="A20" s="1803" t="s">
        <v>2509</v>
      </c>
      <c r="B20" s="586" t="s">
        <v>838</v>
      </c>
      <c r="C20" s="608">
        <f>ROUND((C5+C19)*F20,0)</f>
        <v>401</v>
      </c>
      <c r="D20" s="608"/>
      <c r="E20" s="608"/>
      <c r="F20" s="609">
        <f>'数据-取费表'!B37</f>
        <v>0.02</v>
      </c>
      <c r="G20" s="2621" t="s">
        <v>2520</v>
      </c>
    </row>
    <row r="21" spans="1:7" s="590" customFormat="1" ht="13.5" customHeight="1">
      <c r="A21" s="1803" t="s">
        <v>2511</v>
      </c>
      <c r="B21" s="586" t="s">
        <v>839</v>
      </c>
      <c r="C21" s="611">
        <f>F21</f>
        <v>0.02</v>
      </c>
      <c r="D21" s="612" t="s">
        <v>860</v>
      </c>
      <c r="E21" s="608"/>
      <c r="F21" s="609">
        <f>'数据-取费表'!B38</f>
        <v>0.02</v>
      </c>
      <c r="G21" s="610" t="s">
        <v>840</v>
      </c>
    </row>
    <row r="22" spans="1:7" s="590" customFormat="1" ht="13.5" customHeight="1">
      <c r="A22" s="1803" t="s">
        <v>1918</v>
      </c>
      <c r="B22" s="586" t="s">
        <v>841</v>
      </c>
      <c r="C22" s="2700">
        <f ca="1">ROUND(SUM(C23:C25),0)</f>
        <v>1971</v>
      </c>
      <c r="D22" s="611">
        <f ca="1">C26</f>
        <v>1E-3</v>
      </c>
      <c r="E22" s="612" t="s">
        <v>860</v>
      </c>
      <c r="F22" s="613">
        <f ca="1">'数据-取费表'!B40</f>
        <v>4.7500000000000001E-2</v>
      </c>
      <c r="G22" s="2621" t="str">
        <f>IF('数据-取费表'!B22&lt;=1,"单利计息","复利计息")</f>
        <v>复利计息</v>
      </c>
    </row>
    <row r="23" spans="1:7" s="590" customFormat="1" ht="13.5" customHeight="1">
      <c r="A23" s="1806" t="s">
        <v>1926</v>
      </c>
      <c r="B23" s="591" t="s">
        <v>2513</v>
      </c>
      <c r="C23" s="2701">
        <f ca="1">ROUND(IF('数据-取费表'!B22&lt;=1,C5*F22*'数据-取费表'!B23,C5*(POWER((1+F22),'数据-取费表'!B23)-1)),0)</f>
        <v>1945</v>
      </c>
      <c r="D23" s="614"/>
      <c r="E23" s="614"/>
      <c r="F23" s="615"/>
      <c r="G23" s="616" t="s">
        <v>842</v>
      </c>
    </row>
    <row r="24" spans="1:7" s="590" customFormat="1" ht="13.5" customHeight="1">
      <c r="A24" s="1806" t="s">
        <v>1924</v>
      </c>
      <c r="B24" s="591" t="s">
        <v>2508</v>
      </c>
      <c r="C24" s="2701">
        <f ca="1">ROUND(IF('数据-取费表'!B22&lt;=1,C19*F22*('数据-取费表'!B19/2+'数据-取费表'!B21),C19*(POWER((1+F22),('数据-取费表'!B19/2+'数据-取费表'!B21))-1)),0)</f>
        <v>7</v>
      </c>
      <c r="D24" s="614"/>
      <c r="E24" s="614"/>
      <c r="F24" s="615"/>
      <c r="G24" s="616" t="s">
        <v>843</v>
      </c>
    </row>
    <row r="25" spans="1:7" s="590" customFormat="1" ht="24">
      <c r="A25" s="1806" t="s">
        <v>1925</v>
      </c>
      <c r="B25" s="591" t="s">
        <v>2510</v>
      </c>
      <c r="C25" s="2701">
        <f ca="1">ROUND(IF('数据-取费表'!B22&lt;=1,C20*F22*'数据-取费表'!B23/2,C20*(POWER((1+F22),'数据-取费表'!B23/2)-1)),0)</f>
        <v>19</v>
      </c>
      <c r="D25" s="614"/>
      <c r="E25" s="617"/>
      <c r="F25" s="615"/>
      <c r="G25" s="618" t="s">
        <v>844</v>
      </c>
    </row>
    <row r="26" spans="1:7" s="590" customFormat="1">
      <c r="A26" s="1806" t="s">
        <v>1927</v>
      </c>
      <c r="B26" s="591" t="s">
        <v>2512</v>
      </c>
      <c r="C26" s="614">
        <f ca="1">ROUND(IF('数据-取费表'!B22&lt;=1,F21*F22*'数据-取费表'!B23/2,F21*(POWER((1+F22),'数据-取费表'!B23/2)-1)),4)</f>
        <v>1E-3</v>
      </c>
      <c r="D26" s="614"/>
      <c r="E26" s="617"/>
      <c r="F26" s="615"/>
      <c r="G26" s="619"/>
    </row>
    <row r="27" spans="1:7" s="590" customFormat="1" ht="24.75">
      <c r="A27" s="1803" t="s">
        <v>1919</v>
      </c>
      <c r="B27" s="620" t="s">
        <v>846</v>
      </c>
      <c r="C27" s="621">
        <f>C28</f>
        <v>4094</v>
      </c>
      <c r="D27" s="611">
        <f>C29</f>
        <v>4.0000000000000001E-3</v>
      </c>
      <c r="E27" s="612" t="s">
        <v>860</v>
      </c>
      <c r="F27" s="622">
        <f>'数据-取费表'!Q16</f>
        <v>0.2</v>
      </c>
      <c r="G27" s="623" t="s">
        <v>2521</v>
      </c>
    </row>
    <row r="28" spans="1:7" s="590" customFormat="1" ht="13.5" customHeight="1">
      <c r="A28" s="1806" t="s">
        <v>1926</v>
      </c>
      <c r="B28" s="624" t="s">
        <v>2514</v>
      </c>
      <c r="C28" s="625">
        <f>ROUND((C5+C19+C20)*F27*'数据-取费表'!B21/'数据-取费表'!B20,0)</f>
        <v>4094</v>
      </c>
      <c r="D28" s="611"/>
      <c r="E28" s="612"/>
      <c r="F28" s="622"/>
      <c r="G28" s="623"/>
    </row>
    <row r="29" spans="1:7" s="590" customFormat="1" ht="13.5" customHeight="1">
      <c r="A29" s="1806" t="s">
        <v>1924</v>
      </c>
      <c r="B29" s="624" t="s">
        <v>2515</v>
      </c>
      <c r="C29" s="614">
        <f>ROUND(C21*F27*'数据-取费表'!B21/'数据-取费表'!B20,4)</f>
        <v>4.0000000000000001E-3</v>
      </c>
      <c r="D29" s="611"/>
      <c r="E29" s="612"/>
      <c r="F29" s="622"/>
      <c r="G29" s="623"/>
    </row>
    <row r="30" spans="1:7" s="590" customFormat="1" ht="13.5" customHeight="1">
      <c r="A30" s="1803" t="s">
        <v>1920</v>
      </c>
      <c r="B30" s="586" t="s">
        <v>346</v>
      </c>
      <c r="C30" s="611">
        <f>F30</f>
        <v>5.3500000000000006E-2</v>
      </c>
      <c r="D30" s="612" t="s">
        <v>861</v>
      </c>
      <c r="E30" s="617"/>
      <c r="F30" s="613">
        <f>'数据-取费表'!B41</f>
        <v>5.3500000000000006E-2</v>
      </c>
      <c r="G30" s="610" t="s">
        <v>847</v>
      </c>
    </row>
    <row r="31" spans="1:7" ht="16.5" customHeight="1">
      <c r="A31" s="585">
        <v>1</v>
      </c>
      <c r="B31" s="586" t="s">
        <v>862</v>
      </c>
      <c r="C31" s="587">
        <f ca="1">ROUND((C5+C19+C20+C22+C27)/(1-C21-D22-D27-C30/(1+'数据-取费表'!B42)),0)</f>
        <v>28716</v>
      </c>
      <c r="D31" s="606"/>
      <c r="E31" s="587"/>
      <c r="F31" s="626"/>
      <c r="G31" s="610" t="s">
        <v>2522</v>
      </c>
    </row>
    <row r="32" spans="1:7" s="584" customFormat="1" ht="15.75">
      <c r="A32" s="628" t="s">
        <v>848</v>
      </c>
      <c r="B32" s="629"/>
      <c r="C32" s="629"/>
      <c r="D32" s="629"/>
      <c r="E32" s="629"/>
      <c r="F32" s="629"/>
      <c r="G32" s="630"/>
    </row>
    <row r="33" spans="1:7" s="590" customFormat="1" ht="13.5" customHeight="1">
      <c r="A33" s="631" t="s">
        <v>1914</v>
      </c>
      <c r="B33" s="586" t="s">
        <v>849</v>
      </c>
      <c r="C33" s="632">
        <f>SUM(C34:C38)</f>
        <v>1076</v>
      </c>
      <c r="D33" s="608"/>
      <c r="E33" s="588"/>
      <c r="F33" s="617"/>
      <c r="G33" s="610"/>
    </row>
    <row r="34" spans="1:7" s="634" customFormat="1" ht="13.5" customHeight="1">
      <c r="A34" s="1806" t="s">
        <v>1926</v>
      </c>
      <c r="B34" s="591" t="s">
        <v>347</v>
      </c>
      <c r="C34" s="596">
        <f>IF(F34=100%,'数据-取费表'!M16-SUMIF('数据-取费表'!C:C,"公共配套",'数据-取费表'!M:M),'数据-取费表'!O16-SUMIF('数据-取费表'!C:C,"公共配套",'数据-取费表'!O:O))</f>
        <v>964</v>
      </c>
      <c r="D34" s="593"/>
      <c r="E34" s="596"/>
      <c r="F34" s="633">
        <f>IF('数据-取费表'!B24=0,1,'数据-取费表'!N16)</f>
        <v>1</v>
      </c>
      <c r="G34" s="595" t="s">
        <v>850</v>
      </c>
    </row>
    <row r="35" spans="1:7" ht="13.5" customHeight="1">
      <c r="A35" s="1806" t="s">
        <v>1928</v>
      </c>
      <c r="B35" s="591" t="s">
        <v>348</v>
      </c>
      <c r="C35" s="596">
        <f>ROUND(C34*F35,0)</f>
        <v>29</v>
      </c>
      <c r="D35" s="596"/>
      <c r="E35" s="596"/>
      <c r="F35" s="635">
        <f>'数据-取费表'!B33</f>
        <v>0.03</v>
      </c>
      <c r="G35" s="595" t="s">
        <v>851</v>
      </c>
    </row>
    <row r="36" spans="1:7" ht="24">
      <c r="A36" s="1806" t="s">
        <v>1929</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350</v>
      </c>
    </row>
    <row r="37" spans="1:7" s="634" customFormat="1" ht="13.5" customHeight="1">
      <c r="A37" s="1806" t="s">
        <v>1930</v>
      </c>
      <c r="B37" s="591" t="s">
        <v>852</v>
      </c>
      <c r="C37" s="625">
        <f>ROUND(E37*D37*F34/10000,0)</f>
        <v>69</v>
      </c>
      <c r="D37" s="593">
        <f>'数据-汇总表'!E3</f>
        <v>3441.66</v>
      </c>
      <c r="E37" s="625">
        <f>'数据-取费表'!B35</f>
        <v>200</v>
      </c>
      <c r="F37" s="635"/>
      <c r="G37" s="637" t="s">
        <v>853</v>
      </c>
    </row>
    <row r="38" spans="1:7" ht="13.5" customHeight="1">
      <c r="A38" s="1806" t="s">
        <v>1931</v>
      </c>
      <c r="B38" s="591" t="s">
        <v>351</v>
      </c>
      <c r="C38" s="596">
        <f>ROUND(C34*F38,0)</f>
        <v>14</v>
      </c>
      <c r="D38" s="596"/>
      <c r="E38" s="596"/>
      <c r="F38" s="635">
        <f>'数据-取费表'!B36</f>
        <v>1.4999999999999999E-2</v>
      </c>
      <c r="G38" s="595" t="s">
        <v>851</v>
      </c>
    </row>
    <row r="39" spans="1:7" s="590" customFormat="1" ht="13.5" customHeight="1">
      <c r="A39" s="1803" t="s">
        <v>1915</v>
      </c>
      <c r="B39" s="586" t="s">
        <v>838</v>
      </c>
      <c r="C39" s="608">
        <f>ROUND(C33*F20,0)</f>
        <v>22</v>
      </c>
      <c r="D39" s="608"/>
      <c r="E39" s="608"/>
      <c r="F39" s="609"/>
      <c r="G39" s="2621" t="s">
        <v>2523</v>
      </c>
    </row>
    <row r="40" spans="1:7" s="590" customFormat="1" ht="13.5" customHeight="1">
      <c r="A40" s="1803" t="s">
        <v>1916</v>
      </c>
      <c r="B40" s="586" t="s">
        <v>839</v>
      </c>
      <c r="C40" s="638">
        <f>F21</f>
        <v>0.02</v>
      </c>
      <c r="D40" s="612" t="s">
        <v>863</v>
      </c>
      <c r="E40" s="608"/>
      <c r="F40" s="609"/>
      <c r="G40" s="610" t="s">
        <v>854</v>
      </c>
    </row>
    <row r="41" spans="1:7" s="590" customFormat="1" ht="13.5" customHeight="1">
      <c r="A41" s="1803" t="s">
        <v>1917</v>
      </c>
      <c r="B41" s="586" t="s">
        <v>841</v>
      </c>
      <c r="C41" s="608">
        <f ca="1">ROUND(SUM(C42:C43),0)</f>
        <v>52</v>
      </c>
      <c r="D41" s="611">
        <f ca="1">C44</f>
        <v>1E-3</v>
      </c>
      <c r="E41" s="612" t="s">
        <v>863</v>
      </c>
      <c r="F41" s="613"/>
      <c r="G41" s="2621" t="str">
        <f>IF('数据-取费表'!B22&lt;=1,"单利计息","复利计息")</f>
        <v>复利计息</v>
      </c>
    </row>
    <row r="42" spans="1:7" ht="13.5" customHeight="1">
      <c r="A42" s="1806" t="s">
        <v>1926</v>
      </c>
      <c r="B42" s="591" t="s">
        <v>2513</v>
      </c>
      <c r="C42" s="614">
        <f ca="1">ROUND(IF('数据-取费表'!B22&lt;=1,C33*F22*'数据-取费表'!B21/2,C33*(POWER((1+F22),'数据-取费表'!B21/2)-1)),0)</f>
        <v>51</v>
      </c>
      <c r="D42" s="614"/>
      <c r="E42" s="614"/>
      <c r="F42" s="615"/>
      <c r="G42" s="3623" t="s">
        <v>855</v>
      </c>
    </row>
    <row r="43" spans="1:7" ht="13.5" customHeight="1">
      <c r="A43" s="1806" t="s">
        <v>1924</v>
      </c>
      <c r="B43" s="591" t="s">
        <v>2516</v>
      </c>
      <c r="C43" s="614">
        <f ca="1">ROUND(IF('数据-取费表'!B22&lt;=1,C39*F22*'数据-取费表'!B21/2,C39*(POWER((1+F22),'数据-取费表'!B21/2)-1)),0)</f>
        <v>1</v>
      </c>
      <c r="D43" s="614"/>
      <c r="E43" s="614"/>
      <c r="F43" s="615"/>
      <c r="G43" s="3624"/>
    </row>
    <row r="44" spans="1:7" ht="13.5" customHeight="1">
      <c r="A44" s="1806" t="s">
        <v>1925</v>
      </c>
      <c r="B44" s="591" t="s">
        <v>2518</v>
      </c>
      <c r="C44" s="614">
        <f ca="1">ROUND(IF('数据-取费表'!B22&lt;=1,C40*F22*'数据-取费表'!B21/2,C40*(POWER((1+F22),'数据-取费表'!B21/2)-1)),4)</f>
        <v>1E-3</v>
      </c>
      <c r="D44" s="614"/>
      <c r="E44" s="614"/>
      <c r="F44" s="615"/>
      <c r="G44" s="3625"/>
    </row>
    <row r="45" spans="1:7" s="590" customFormat="1" ht="13.5" customHeight="1">
      <c r="A45" s="1803" t="s">
        <v>1918</v>
      </c>
      <c r="B45" s="620" t="s">
        <v>846</v>
      </c>
      <c r="C45" s="621">
        <f>C46</f>
        <v>220</v>
      </c>
      <c r="D45" s="611">
        <f>C47</f>
        <v>4.0000000000000001E-3</v>
      </c>
      <c r="E45" s="612" t="s">
        <v>863</v>
      </c>
      <c r="F45" s="622"/>
      <c r="G45" s="623" t="s">
        <v>2524</v>
      </c>
    </row>
    <row r="46" spans="1:7" s="590" customFormat="1" ht="13.5" customHeight="1">
      <c r="A46" s="1806" t="s">
        <v>1926</v>
      </c>
      <c r="B46" s="624" t="s">
        <v>2517</v>
      </c>
      <c r="C46" s="625">
        <f>ROUND((C33+C39)*F27,0)</f>
        <v>220</v>
      </c>
      <c r="D46" s="639"/>
      <c r="E46" s="612"/>
      <c r="F46" s="622"/>
      <c r="G46" s="623"/>
    </row>
    <row r="47" spans="1:7" s="590" customFormat="1" ht="13.5" customHeight="1">
      <c r="A47" s="1806" t="s">
        <v>1924</v>
      </c>
      <c r="B47" s="624" t="s">
        <v>2519</v>
      </c>
      <c r="C47" s="614">
        <f>ROUND(C40*F27,4)</f>
        <v>4.0000000000000001E-3</v>
      </c>
      <c r="D47" s="639"/>
      <c r="E47" s="612"/>
      <c r="F47" s="622"/>
      <c r="G47" s="623"/>
    </row>
    <row r="48" spans="1:7" s="590" customFormat="1" ht="13.5" customHeight="1">
      <c r="A48" s="1803" t="s">
        <v>1919</v>
      </c>
      <c r="B48" s="586" t="s">
        <v>856</v>
      </c>
      <c r="C48" s="638">
        <f>F30</f>
        <v>5.3500000000000006E-2</v>
      </c>
      <c r="D48" s="612" t="s">
        <v>864</v>
      </c>
      <c r="E48" s="608"/>
      <c r="F48" s="613"/>
      <c r="G48" s="610" t="s">
        <v>857</v>
      </c>
    </row>
    <row r="49" spans="1:7" ht="16.5" customHeight="1">
      <c r="A49" s="1803" t="s">
        <v>1920</v>
      </c>
      <c r="B49" s="586" t="s">
        <v>865</v>
      </c>
      <c r="C49" s="608">
        <f ca="1">ROUND((C33+C39+C41+C45)/(1-C40-D41-D45-C48/(1+'数据-取费表'!B42)),0)</f>
        <v>1483</v>
      </c>
      <c r="D49" s="608"/>
      <c r="E49" s="608"/>
      <c r="F49" s="640"/>
      <c r="G49" s="610" t="s">
        <v>2525</v>
      </c>
    </row>
    <row r="50" spans="1:7" s="634" customFormat="1" ht="24">
      <c r="A50" s="1803" t="s">
        <v>1921</v>
      </c>
      <c r="B50" s="586" t="s">
        <v>858</v>
      </c>
      <c r="C50" s="608"/>
      <c r="D50" s="608"/>
      <c r="E50" s="608"/>
      <c r="F50" s="640">
        <f>IF('数据-取费表'!B24=0,'数据-取费表'!N16,1)</f>
        <v>0.75800000000000001</v>
      </c>
      <c r="G50" s="623" t="s">
        <v>859</v>
      </c>
    </row>
    <row r="51" spans="1:7" ht="16.5" customHeight="1">
      <c r="A51" s="1803" t="s">
        <v>1922</v>
      </c>
      <c r="B51" s="586" t="s">
        <v>866</v>
      </c>
      <c r="C51" s="608">
        <f ca="1">ROUND(C49*F50,0)</f>
        <v>1124</v>
      </c>
      <c r="D51" s="608"/>
      <c r="E51" s="608"/>
      <c r="F51" s="640"/>
      <c r="G51" s="610" t="s">
        <v>352</v>
      </c>
    </row>
    <row r="52" spans="1:7" s="584" customFormat="1" ht="16.5" thickBot="1">
      <c r="A52" s="641" t="s">
        <v>353</v>
      </c>
      <c r="B52" s="642"/>
      <c r="C52" s="643">
        <f ca="1">C31+C51</f>
        <v>29840</v>
      </c>
      <c r="D52" s="642"/>
      <c r="E52" s="642"/>
      <c r="F52" s="642"/>
      <c r="G52" s="644"/>
    </row>
    <row r="55" spans="1:7" ht="15">
      <c r="B55" s="646" t="s">
        <v>354</v>
      </c>
      <c r="C55" s="647"/>
    </row>
    <row r="56" spans="1:7">
      <c r="B56" s="649" t="s">
        <v>355</v>
      </c>
      <c r="C56" s="650">
        <f ca="1">ROUND(C51/C52,3)</f>
        <v>3.7999999999999999E-2</v>
      </c>
    </row>
    <row r="57" spans="1:7">
      <c r="B57" s="649" t="s">
        <v>356</v>
      </c>
      <c r="C57" s="651">
        <f ca="1">1-C56</f>
        <v>0.96199999999999997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805" t="s">
        <v>1172</v>
      </c>
      <c r="B1" s="3805"/>
      <c r="C1" s="3805"/>
      <c r="D1" s="3805"/>
      <c r="E1" s="3805"/>
      <c r="F1" s="3805"/>
      <c r="H1" s="1521" t="s">
        <v>1173</v>
      </c>
      <c r="I1" s="1522" t="s">
        <v>1174</v>
      </c>
      <c r="J1" s="1522" t="s">
        <v>1175</v>
      </c>
      <c r="K1" s="1522" t="s">
        <v>1176</v>
      </c>
      <c r="L1" s="1522" t="s">
        <v>1177</v>
      </c>
      <c r="M1" s="1522" t="s">
        <v>1178</v>
      </c>
      <c r="N1" s="1522" t="s">
        <v>1179</v>
      </c>
      <c r="O1" s="1522" t="s">
        <v>1180</v>
      </c>
      <c r="P1" s="1522" t="s">
        <v>1181</v>
      </c>
      <c r="Q1" s="1522" t="s">
        <v>1182</v>
      </c>
      <c r="R1" s="1522" t="s">
        <v>1183</v>
      </c>
      <c r="S1" s="1523" t="s">
        <v>1184</v>
      </c>
    </row>
    <row r="2" spans="1:19" ht="14.25" thickBot="1">
      <c r="A2" s="3806" t="s">
        <v>1185</v>
      </c>
      <c r="B2" s="3806"/>
      <c r="C2" s="3806"/>
      <c r="D2" s="3806"/>
      <c r="E2" s="3806"/>
      <c r="F2" s="3806"/>
      <c r="H2" s="1524" t="s">
        <v>1186</v>
      </c>
      <c r="I2" s="1525" t="s">
        <v>1187</v>
      </c>
      <c r="J2" s="1525" t="s">
        <v>1188</v>
      </c>
      <c r="K2" s="1525" t="s">
        <v>1189</v>
      </c>
      <c r="L2" s="1525" t="s">
        <v>1190</v>
      </c>
      <c r="M2" s="1525" t="s">
        <v>1191</v>
      </c>
      <c r="N2" s="1525" t="s">
        <v>1192</v>
      </c>
      <c r="O2" s="1525" t="s">
        <v>1193</v>
      </c>
      <c r="P2" s="1525" t="s">
        <v>1194</v>
      </c>
      <c r="Q2" s="1525" t="s">
        <v>1195</v>
      </c>
      <c r="R2" s="1525" t="s">
        <v>1196</v>
      </c>
      <c r="S2" s="1525" t="s">
        <v>1197</v>
      </c>
    </row>
    <row r="3" spans="1:19" s="1520" customFormat="1" ht="19.5" customHeight="1">
      <c r="A3" s="3807" t="s">
        <v>1198</v>
      </c>
      <c r="B3" s="1526"/>
      <c r="C3" s="1527" t="s">
        <v>1199</v>
      </c>
      <c r="D3" s="1527" t="s">
        <v>1200</v>
      </c>
      <c r="E3" s="1527" t="s">
        <v>1847</v>
      </c>
      <c r="F3" s="1527" t="s">
        <v>1202</v>
      </c>
      <c r="G3" s="1528"/>
      <c r="H3" s="1524" t="s">
        <v>1203</v>
      </c>
      <c r="I3" s="1525" t="s">
        <v>1204</v>
      </c>
      <c r="J3" s="1525" t="s">
        <v>1205</v>
      </c>
      <c r="K3" s="1525" t="s">
        <v>1206</v>
      </c>
      <c r="L3" s="1525" t="s">
        <v>1207</v>
      </c>
      <c r="M3" s="1525" t="s">
        <v>1208</v>
      </c>
      <c r="N3" s="1525" t="s">
        <v>1209</v>
      </c>
      <c r="O3" s="1525" t="s">
        <v>1210</v>
      </c>
      <c r="P3" s="1525" t="s">
        <v>1211</v>
      </c>
      <c r="Q3" s="1525" t="s">
        <v>1212</v>
      </c>
      <c r="R3" s="1525" t="s">
        <v>1213</v>
      </c>
      <c r="S3" s="1525" t="s">
        <v>1214</v>
      </c>
    </row>
    <row r="4" spans="1:19" s="1520" customFormat="1" ht="19.5" customHeight="1" thickBot="1">
      <c r="A4" s="3808"/>
      <c r="B4" s="1529" t="s">
        <v>1215</v>
      </c>
      <c r="C4" s="1529" t="s">
        <v>1216</v>
      </c>
      <c r="D4" s="1529" t="s">
        <v>1216</v>
      </c>
      <c r="E4" s="1529" t="s">
        <v>1216</v>
      </c>
      <c r="F4" s="1530" t="s">
        <v>1216</v>
      </c>
      <c r="G4" s="1528"/>
      <c r="H4" s="1524" t="s">
        <v>1217</v>
      </c>
      <c r="I4" s="1525" t="s">
        <v>1140</v>
      </c>
      <c r="J4" s="1525" t="s">
        <v>1218</v>
      </c>
      <c r="K4" s="1525" t="s">
        <v>1219</v>
      </c>
      <c r="L4" s="1525" t="s">
        <v>1220</v>
      </c>
      <c r="M4" s="1525" t="s">
        <v>1221</v>
      </c>
      <c r="N4" s="1525" t="s">
        <v>1222</v>
      </c>
      <c r="O4" s="1525" t="s">
        <v>1223</v>
      </c>
      <c r="P4" s="1525" t="s">
        <v>1224</v>
      </c>
      <c r="Q4" s="1525" t="s">
        <v>1225</v>
      </c>
      <c r="R4" s="1525" t="s">
        <v>1226</v>
      </c>
      <c r="S4" s="1525" t="s">
        <v>1227</v>
      </c>
    </row>
    <row r="5" spans="1:19" ht="14.25" customHeight="1" thickBot="1">
      <c r="A5" s="1531" t="s">
        <v>1954</v>
      </c>
      <c r="B5" s="1532" t="s">
        <v>1955</v>
      </c>
      <c r="C5" s="1532">
        <v>29530</v>
      </c>
      <c r="D5" s="1532">
        <v>28130</v>
      </c>
      <c r="E5" s="1532">
        <v>27930</v>
      </c>
      <c r="F5" s="1533">
        <v>11300</v>
      </c>
      <c r="G5" s="1528"/>
      <c r="H5" s="1524" t="s">
        <v>1229</v>
      </c>
      <c r="I5" s="1525" t="s">
        <v>1230</v>
      </c>
      <c r="J5" s="1525" t="s">
        <v>1231</v>
      </c>
      <c r="K5" s="1525" t="s">
        <v>1232</v>
      </c>
      <c r="L5" s="1525" t="s">
        <v>1233</v>
      </c>
      <c r="M5" s="1525" t="s">
        <v>1234</v>
      </c>
      <c r="N5" s="1525" t="s">
        <v>1235</v>
      </c>
      <c r="O5" s="1525" t="s">
        <v>1236</v>
      </c>
      <c r="P5" s="1525" t="s">
        <v>1237</v>
      </c>
      <c r="Q5" s="1525" t="s">
        <v>1238</v>
      </c>
      <c r="R5" s="1525" t="s">
        <v>1239</v>
      </c>
      <c r="S5" s="1525" t="s">
        <v>1240</v>
      </c>
    </row>
    <row r="6" spans="1:19" ht="14.25" customHeight="1" thickBot="1">
      <c r="A6" s="1531" t="s">
        <v>1228</v>
      </c>
      <c r="B6" s="1525" t="s">
        <v>1203</v>
      </c>
      <c r="C6" s="1525">
        <v>30290</v>
      </c>
      <c r="D6" s="1525">
        <v>29210</v>
      </c>
      <c r="E6" s="1525">
        <v>28860</v>
      </c>
      <c r="F6" s="1534">
        <v>12600</v>
      </c>
      <c r="G6" s="1528"/>
      <c r="H6" s="1524" t="s">
        <v>1241</v>
      </c>
      <c r="I6" s="1525" t="s">
        <v>1242</v>
      </c>
      <c r="J6" s="1525" t="s">
        <v>1243</v>
      </c>
      <c r="K6" s="1525" t="s">
        <v>1244</v>
      </c>
      <c r="L6" s="1525" t="s">
        <v>1245</v>
      </c>
      <c r="M6" s="1525" t="s">
        <v>1246</v>
      </c>
      <c r="N6" s="1525" t="s">
        <v>1247</v>
      </c>
      <c r="O6" s="1525" t="s">
        <v>1248</v>
      </c>
      <c r="P6" s="1525" t="s">
        <v>1249</v>
      </c>
      <c r="Q6" s="1525" t="s">
        <v>1250</v>
      </c>
      <c r="R6" s="1525" t="s">
        <v>1251</v>
      </c>
      <c r="S6" s="1525" t="s">
        <v>1252</v>
      </c>
    </row>
    <row r="7" spans="1:19" ht="14.25" customHeight="1" thickBot="1">
      <c r="A7" s="1531" t="s">
        <v>1228</v>
      </c>
      <c r="B7" s="1535" t="s">
        <v>1217</v>
      </c>
      <c r="C7" s="1525">
        <v>29350</v>
      </c>
      <c r="D7" s="1525">
        <v>28410</v>
      </c>
      <c r="E7" s="1525">
        <v>27990</v>
      </c>
      <c r="F7" s="1534">
        <v>12300</v>
      </c>
      <c r="G7" s="1528"/>
      <c r="I7" s="1525" t="s">
        <v>1253</v>
      </c>
      <c r="J7" s="1525" t="s">
        <v>1254</v>
      </c>
      <c r="K7" s="1525" t="s">
        <v>1255</v>
      </c>
      <c r="L7" s="1525" t="s">
        <v>1256</v>
      </c>
      <c r="M7" s="1525" t="s">
        <v>1257</v>
      </c>
      <c r="N7" s="1525" t="s">
        <v>1258</v>
      </c>
      <c r="O7" s="1525" t="s">
        <v>1259</v>
      </c>
      <c r="P7" s="1525" t="s">
        <v>1260</v>
      </c>
      <c r="Q7" s="1525" t="s">
        <v>1261</v>
      </c>
      <c r="R7" s="1525" t="s">
        <v>1262</v>
      </c>
      <c r="S7" s="1535" t="s">
        <v>1263</v>
      </c>
    </row>
    <row r="8" spans="1:19" ht="14.25" customHeight="1" thickBot="1">
      <c r="A8" s="1531" t="s">
        <v>1228</v>
      </c>
      <c r="B8" s="1525" t="s">
        <v>1229</v>
      </c>
      <c r="C8" s="1525">
        <v>30890</v>
      </c>
      <c r="D8" s="1525">
        <v>29780</v>
      </c>
      <c r="E8" s="1525">
        <v>29270</v>
      </c>
      <c r="F8" s="1534">
        <v>11600</v>
      </c>
      <c r="G8" s="1528"/>
      <c r="I8" s="1525" t="s">
        <v>1264</v>
      </c>
      <c r="J8" s="1525" t="s">
        <v>1265</v>
      </c>
      <c r="K8" s="1525" t="s">
        <v>1266</v>
      </c>
      <c r="L8" s="1525" t="s">
        <v>1267</v>
      </c>
      <c r="M8" s="1525" t="s">
        <v>1268</v>
      </c>
      <c r="N8" s="1525" t="s">
        <v>1269</v>
      </c>
      <c r="O8" s="1525" t="s">
        <v>1270</v>
      </c>
      <c r="P8" s="1525" t="s">
        <v>1271</v>
      </c>
      <c r="Q8" s="1525" t="s">
        <v>1272</v>
      </c>
      <c r="R8" s="1525" t="s">
        <v>1273</v>
      </c>
      <c r="S8" s="1525" t="s">
        <v>1274</v>
      </c>
    </row>
    <row r="9" spans="1:19" ht="14.25" customHeight="1" thickBot="1">
      <c r="A9" s="1531" t="s">
        <v>1228</v>
      </c>
      <c r="B9" s="1536" t="s">
        <v>1241</v>
      </c>
      <c r="C9" s="1537">
        <v>28140</v>
      </c>
      <c r="D9" s="1537"/>
      <c r="E9" s="1537"/>
      <c r="F9" s="1538"/>
      <c r="G9" s="1528"/>
      <c r="I9" s="1525" t="s">
        <v>1275</v>
      </c>
      <c r="J9" s="1525" t="s">
        <v>1276</v>
      </c>
      <c r="K9" s="1525" t="s">
        <v>1277</v>
      </c>
      <c r="L9" s="1525" t="s">
        <v>1278</v>
      </c>
      <c r="M9" s="1525" t="s">
        <v>1279</v>
      </c>
      <c r="N9" s="1525" t="s">
        <v>1280</v>
      </c>
      <c r="O9" s="1525" t="s">
        <v>1281</v>
      </c>
      <c r="P9" s="1525" t="s">
        <v>1282</v>
      </c>
      <c r="Q9" s="1525" t="s">
        <v>1283</v>
      </c>
      <c r="R9" s="1525" t="s">
        <v>1284</v>
      </c>
    </row>
    <row r="10" spans="1:19" ht="14.25" customHeight="1" thickBot="1">
      <c r="A10" s="1531" t="s">
        <v>1285</v>
      </c>
      <c r="B10" s="1532" t="s">
        <v>1286</v>
      </c>
      <c r="C10" s="1532">
        <v>27450</v>
      </c>
      <c r="D10" s="1532">
        <v>26180</v>
      </c>
      <c r="E10" s="1532">
        <v>25980</v>
      </c>
      <c r="F10" s="1533">
        <v>8910</v>
      </c>
      <c r="G10" s="1528"/>
      <c r="I10" s="1525" t="s">
        <v>1287</v>
      </c>
      <c r="J10" s="1525" t="s">
        <v>1288</v>
      </c>
      <c r="K10" s="1525" t="s">
        <v>1289</v>
      </c>
      <c r="L10" s="1525" t="s">
        <v>1290</v>
      </c>
      <c r="M10" s="1525" t="s">
        <v>1291</v>
      </c>
      <c r="N10" s="1525" t="s">
        <v>1292</v>
      </c>
      <c r="O10" s="1525" t="s">
        <v>1293</v>
      </c>
      <c r="P10" s="1525" t="s">
        <v>1294</v>
      </c>
      <c r="Q10" s="1525" t="s">
        <v>1295</v>
      </c>
      <c r="R10" s="1525" t="s">
        <v>1296</v>
      </c>
    </row>
    <row r="11" spans="1:19" ht="14.25" customHeight="1" thickBot="1">
      <c r="A11" s="1531" t="s">
        <v>1285</v>
      </c>
      <c r="B11" s="1535" t="s">
        <v>1204</v>
      </c>
      <c r="C11" s="1525">
        <v>22950</v>
      </c>
      <c r="D11" s="1525">
        <v>22630</v>
      </c>
      <c r="E11" s="1525">
        <v>22030</v>
      </c>
      <c r="F11" s="1539">
        <v>8330</v>
      </c>
      <c r="G11" s="1528"/>
      <c r="I11" s="1525" t="s">
        <v>1297</v>
      </c>
      <c r="J11" s="1525" t="s">
        <v>1298</v>
      </c>
      <c r="K11" s="1525" t="s">
        <v>1299</v>
      </c>
      <c r="L11" s="1525" t="s">
        <v>1300</v>
      </c>
      <c r="M11" s="1525" t="s">
        <v>1301</v>
      </c>
      <c r="N11" s="1525" t="s">
        <v>1302</v>
      </c>
      <c r="O11" s="1525" t="s">
        <v>1303</v>
      </c>
      <c r="P11" s="1525" t="s">
        <v>1304</v>
      </c>
      <c r="Q11" s="1525" t="s">
        <v>1305</v>
      </c>
      <c r="R11" s="1525" t="s">
        <v>1306</v>
      </c>
    </row>
    <row r="12" spans="1:19" ht="14.25" customHeight="1" thickBot="1">
      <c r="A12" s="1531" t="s">
        <v>1285</v>
      </c>
      <c r="B12" s="1535" t="s">
        <v>1140</v>
      </c>
      <c r="C12" s="1525">
        <v>24940</v>
      </c>
      <c r="D12" s="1525">
        <v>23180</v>
      </c>
      <c r="E12" s="1525">
        <v>22910</v>
      </c>
      <c r="F12" s="1539">
        <v>7180</v>
      </c>
      <c r="G12" s="1528"/>
      <c r="I12" s="1525" t="s">
        <v>1307</v>
      </c>
      <c r="J12" s="1525" t="s">
        <v>1308</v>
      </c>
      <c r="K12" s="1525" t="s">
        <v>1309</v>
      </c>
      <c r="L12" s="1525" t="s">
        <v>1310</v>
      </c>
      <c r="M12" s="1525" t="s">
        <v>1311</v>
      </c>
      <c r="N12" s="1525" t="s">
        <v>1312</v>
      </c>
      <c r="O12" s="1525" t="s">
        <v>1313</v>
      </c>
      <c r="P12" s="1525" t="s">
        <v>1314</v>
      </c>
      <c r="Q12" s="1525" t="s">
        <v>1315</v>
      </c>
      <c r="R12" s="1525" t="s">
        <v>1316</v>
      </c>
    </row>
    <row r="13" spans="1:19" ht="14.25" customHeight="1" thickBot="1">
      <c r="A13" s="1531" t="s">
        <v>1285</v>
      </c>
      <c r="B13" s="1535" t="s">
        <v>1230</v>
      </c>
      <c r="C13" s="1525">
        <v>24140</v>
      </c>
      <c r="D13" s="1525">
        <v>22270</v>
      </c>
      <c r="E13" s="1525">
        <v>21950</v>
      </c>
      <c r="F13" s="1539">
        <v>7600</v>
      </c>
      <c r="G13" s="1528"/>
      <c r="I13" s="1525" t="s">
        <v>1317</v>
      </c>
      <c r="J13" s="1525" t="s">
        <v>1318</v>
      </c>
      <c r="K13" s="1525" t="s">
        <v>1319</v>
      </c>
      <c r="L13" s="1525" t="s">
        <v>1320</v>
      </c>
      <c r="M13" s="1525" t="s">
        <v>1321</v>
      </c>
      <c r="N13" s="1525" t="s">
        <v>1322</v>
      </c>
      <c r="O13" s="1525" t="s">
        <v>1323</v>
      </c>
      <c r="P13" s="1525" t="s">
        <v>1324</v>
      </c>
      <c r="Q13" s="1525" t="s">
        <v>1325</v>
      </c>
      <c r="R13" s="1525" t="s">
        <v>1326</v>
      </c>
    </row>
    <row r="14" spans="1:19" ht="14.25" customHeight="1" thickBot="1">
      <c r="A14" s="1531" t="s">
        <v>1285</v>
      </c>
      <c r="B14" s="1535" t="s">
        <v>1242</v>
      </c>
      <c r="C14" s="1525">
        <v>25600</v>
      </c>
      <c r="D14" s="1525">
        <v>22260</v>
      </c>
      <c r="E14" s="1525">
        <v>22110</v>
      </c>
      <c r="F14" s="1539">
        <v>7630</v>
      </c>
      <c r="G14" s="1528"/>
      <c r="I14" s="1525" t="s">
        <v>1327</v>
      </c>
      <c r="J14" s="1525" t="s">
        <v>1328</v>
      </c>
      <c r="K14" s="1525" t="s">
        <v>1329</v>
      </c>
      <c r="L14" s="1525" t="s">
        <v>1330</v>
      </c>
      <c r="M14" s="1525" t="s">
        <v>1331</v>
      </c>
      <c r="N14" s="1525" t="s">
        <v>1332</v>
      </c>
      <c r="O14" s="1525" t="s">
        <v>1333</v>
      </c>
      <c r="P14" s="1525" t="s">
        <v>1334</v>
      </c>
      <c r="Q14" s="1525" t="s">
        <v>1335</v>
      </c>
      <c r="R14" s="1525" t="s">
        <v>1336</v>
      </c>
    </row>
    <row r="15" spans="1:19" ht="14.25" customHeight="1" thickBot="1">
      <c r="A15" s="1531" t="s">
        <v>1285</v>
      </c>
      <c r="B15" s="1535" t="s">
        <v>1253</v>
      </c>
      <c r="C15" s="1525">
        <v>24760</v>
      </c>
      <c r="D15" s="1525">
        <v>24440</v>
      </c>
      <c r="E15" s="1525">
        <v>24130</v>
      </c>
      <c r="F15" s="1539">
        <v>9480</v>
      </c>
      <c r="G15" s="1528"/>
      <c r="I15" s="1525" t="s">
        <v>1338</v>
      </c>
      <c r="J15" s="1525" t="s">
        <v>1339</v>
      </c>
      <c r="K15" s="1525" t="s">
        <v>1340</v>
      </c>
      <c r="L15" s="1525" t="s">
        <v>1341</v>
      </c>
      <c r="M15" s="1525" t="s">
        <v>1342</v>
      </c>
      <c r="N15" s="1525" t="s">
        <v>1343</v>
      </c>
      <c r="O15" s="1525" t="s">
        <v>1344</v>
      </c>
      <c r="P15" s="1525" t="s">
        <v>1345</v>
      </c>
      <c r="Q15" s="1525" t="s">
        <v>1346</v>
      </c>
      <c r="R15" s="1525" t="s">
        <v>1347</v>
      </c>
    </row>
    <row r="16" spans="1:19" ht="14.25" customHeight="1" thickBot="1">
      <c r="A16" s="1531" t="s">
        <v>1285</v>
      </c>
      <c r="B16" s="1535" t="s">
        <v>1264</v>
      </c>
      <c r="C16" s="1525">
        <v>22220</v>
      </c>
      <c r="D16" s="1525">
        <v>22310</v>
      </c>
      <c r="E16" s="1525">
        <v>22000</v>
      </c>
      <c r="F16" s="1539">
        <v>8900</v>
      </c>
      <c r="G16" s="1528"/>
      <c r="I16" s="1525" t="s">
        <v>1349</v>
      </c>
      <c r="J16" s="1525" t="s">
        <v>1350</v>
      </c>
      <c r="K16" s="1525" t="s">
        <v>1351</v>
      </c>
      <c r="L16" s="1525" t="s">
        <v>1352</v>
      </c>
      <c r="M16" s="1525" t="s">
        <v>1353</v>
      </c>
      <c r="N16" s="1525" t="s">
        <v>1354</v>
      </c>
      <c r="O16" s="1525" t="s">
        <v>1355</v>
      </c>
      <c r="P16" s="1525" t="s">
        <v>1356</v>
      </c>
      <c r="Q16" s="1525" t="s">
        <v>1357</v>
      </c>
      <c r="R16" s="1525" t="s">
        <v>1358</v>
      </c>
    </row>
    <row r="17" spans="1:18" ht="14.25" customHeight="1" thickBot="1">
      <c r="A17" s="1531" t="s">
        <v>1285</v>
      </c>
      <c r="B17" s="1535" t="s">
        <v>1275</v>
      </c>
      <c r="C17" s="1525">
        <v>24700</v>
      </c>
      <c r="D17" s="1525">
        <v>25150</v>
      </c>
      <c r="E17" s="1525">
        <v>24700</v>
      </c>
      <c r="F17" s="1540"/>
      <c r="G17" s="1528"/>
      <c r="I17" s="1525" t="s">
        <v>1359</v>
      </c>
      <c r="J17" s="1525" t="s">
        <v>1360</v>
      </c>
      <c r="K17" s="1525" t="s">
        <v>1361</v>
      </c>
      <c r="L17" s="1525" t="s">
        <v>1362</v>
      </c>
      <c r="M17" s="1525" t="s">
        <v>1363</v>
      </c>
      <c r="N17" s="1525" t="s">
        <v>1364</v>
      </c>
      <c r="O17" s="1525" t="s">
        <v>1365</v>
      </c>
      <c r="P17" s="1525" t="s">
        <v>1366</v>
      </c>
      <c r="Q17" s="1525" t="s">
        <v>1367</v>
      </c>
      <c r="R17" s="1525" t="s">
        <v>1368</v>
      </c>
    </row>
    <row r="18" spans="1:18" ht="14.25" customHeight="1" thickBot="1">
      <c r="A18" s="1531" t="s">
        <v>1285</v>
      </c>
      <c r="B18" s="1535" t="s">
        <v>1287</v>
      </c>
      <c r="C18" s="1525">
        <v>22350</v>
      </c>
      <c r="D18" s="1525">
        <v>24340</v>
      </c>
      <c r="E18" s="1525">
        <v>24100</v>
      </c>
      <c r="F18" s="1540"/>
      <c r="G18" s="1528"/>
      <c r="I18" s="1525" t="s">
        <v>1369</v>
      </c>
      <c r="J18" s="1525" t="s">
        <v>1370</v>
      </c>
      <c r="K18" s="1525" t="s">
        <v>1371</v>
      </c>
      <c r="L18" s="1525" t="s">
        <v>1372</v>
      </c>
      <c r="M18" s="1525" t="s">
        <v>1373</v>
      </c>
      <c r="N18" s="1525" t="s">
        <v>1374</v>
      </c>
      <c r="O18" s="1525" t="s">
        <v>1375</v>
      </c>
      <c r="P18" s="1525" t="s">
        <v>1376</v>
      </c>
      <c r="Q18" s="1525" t="s">
        <v>1377</v>
      </c>
      <c r="R18" s="1525" t="s">
        <v>1378</v>
      </c>
    </row>
    <row r="19" spans="1:18" ht="14.25" customHeight="1" thickBot="1">
      <c r="A19" s="1531" t="s">
        <v>1285</v>
      </c>
      <c r="B19" s="1535" t="s">
        <v>1297</v>
      </c>
      <c r="C19" s="1525">
        <v>23430</v>
      </c>
      <c r="D19" s="1525">
        <v>21580</v>
      </c>
      <c r="E19" s="1525">
        <v>21350</v>
      </c>
      <c r="F19" s="1540"/>
      <c r="G19" s="1528"/>
      <c r="I19" s="1525" t="s">
        <v>1379</v>
      </c>
      <c r="J19" s="1525" t="s">
        <v>1380</v>
      </c>
      <c r="K19" s="1525" t="s">
        <v>1381</v>
      </c>
      <c r="L19" s="1525" t="s">
        <v>1382</v>
      </c>
      <c r="M19" s="1525" t="s">
        <v>1383</v>
      </c>
      <c r="N19" s="1525" t="s">
        <v>1384</v>
      </c>
      <c r="O19" s="1525" t="s">
        <v>1385</v>
      </c>
      <c r="P19" s="1525" t="s">
        <v>1386</v>
      </c>
      <c r="Q19" s="1525" t="s">
        <v>1387</v>
      </c>
      <c r="R19" s="1525" t="s">
        <v>1388</v>
      </c>
    </row>
    <row r="20" spans="1:18" ht="14.25" customHeight="1" thickBot="1">
      <c r="A20" s="1531" t="s">
        <v>1285</v>
      </c>
      <c r="B20" s="1535" t="s">
        <v>1307</v>
      </c>
      <c r="C20" s="1525">
        <v>27660</v>
      </c>
      <c r="D20" s="1525">
        <v>24240</v>
      </c>
      <c r="E20" s="1525">
        <v>24020</v>
      </c>
      <c r="F20" s="1540"/>
      <c r="I20" s="1525" t="s">
        <v>1389</v>
      </c>
      <c r="J20" s="1525" t="s">
        <v>1390</v>
      </c>
      <c r="K20" s="1525" t="s">
        <v>1391</v>
      </c>
      <c r="L20" s="1525" t="s">
        <v>1392</v>
      </c>
      <c r="M20" s="1525" t="s">
        <v>1393</v>
      </c>
      <c r="N20" s="1525" t="s">
        <v>1394</v>
      </c>
      <c r="O20" s="1525" t="s">
        <v>1395</v>
      </c>
      <c r="P20" s="1525" t="s">
        <v>1396</v>
      </c>
      <c r="Q20" s="1525" t="s">
        <v>1397</v>
      </c>
      <c r="R20" s="1525" t="s">
        <v>1398</v>
      </c>
    </row>
    <row r="21" spans="1:18" ht="14.25" customHeight="1" thickBot="1">
      <c r="A21" s="1531" t="s">
        <v>1285</v>
      </c>
      <c r="B21" s="1535" t="s">
        <v>1317</v>
      </c>
      <c r="C21" s="1525">
        <v>24720</v>
      </c>
      <c r="D21" s="1525">
        <v>21670</v>
      </c>
      <c r="E21" s="1525">
        <v>21510</v>
      </c>
      <c r="F21" s="1540"/>
      <c r="J21" s="1525" t="s">
        <v>1399</v>
      </c>
      <c r="K21" s="1525" t="s">
        <v>1400</v>
      </c>
      <c r="L21" s="1525" t="s">
        <v>1401</v>
      </c>
      <c r="M21" s="1525" t="s">
        <v>1402</v>
      </c>
      <c r="N21" s="1525" t="s">
        <v>1403</v>
      </c>
      <c r="O21" s="1525" t="s">
        <v>1404</v>
      </c>
      <c r="P21" s="1525" t="s">
        <v>1405</v>
      </c>
      <c r="Q21" s="1525" t="s">
        <v>1406</v>
      </c>
      <c r="R21" s="1525" t="s">
        <v>1407</v>
      </c>
    </row>
    <row r="22" spans="1:18" ht="14.25" customHeight="1" thickBot="1">
      <c r="A22" s="1531" t="s">
        <v>1285</v>
      </c>
      <c r="B22" s="1535" t="s">
        <v>1408</v>
      </c>
      <c r="C22" s="1525">
        <v>26530</v>
      </c>
      <c r="D22" s="1525">
        <v>22980</v>
      </c>
      <c r="E22" s="1525">
        <v>22650</v>
      </c>
      <c r="F22" s="1540"/>
      <c r="K22" s="1525" t="s">
        <v>1409</v>
      </c>
      <c r="L22" s="1525" t="s">
        <v>1410</v>
      </c>
      <c r="M22" s="1525" t="s">
        <v>1411</v>
      </c>
      <c r="N22" s="1525" t="s">
        <v>1412</v>
      </c>
      <c r="O22" s="1525" t="s">
        <v>1413</v>
      </c>
      <c r="P22" s="1525" t="s">
        <v>1414</v>
      </c>
      <c r="Q22" s="1525" t="s">
        <v>1415</v>
      </c>
      <c r="R22" s="1535" t="s">
        <v>1416</v>
      </c>
    </row>
    <row r="23" spans="1:18" ht="14.25" customHeight="1" thickBot="1">
      <c r="A23" s="1531" t="s">
        <v>1285</v>
      </c>
      <c r="B23" s="1535" t="s">
        <v>1338</v>
      </c>
      <c r="C23" s="1525">
        <v>24700</v>
      </c>
      <c r="D23" s="1525">
        <v>27290</v>
      </c>
      <c r="E23" s="1525">
        <v>26710</v>
      </c>
      <c r="F23" s="1540"/>
      <c r="K23" s="1525" t="s">
        <v>1417</v>
      </c>
      <c r="L23" s="1525" t="s">
        <v>1418</v>
      </c>
      <c r="M23" s="1525" t="s">
        <v>1419</v>
      </c>
      <c r="N23" s="1525" t="s">
        <v>1420</v>
      </c>
      <c r="O23" s="1525" t="s">
        <v>1421</v>
      </c>
      <c r="P23" s="1525" t="s">
        <v>1422</v>
      </c>
      <c r="Q23" s="1525" t="s">
        <v>1423</v>
      </c>
    </row>
    <row r="24" spans="1:18" ht="14.25" customHeight="1" thickBot="1">
      <c r="A24" s="1531" t="s">
        <v>1285</v>
      </c>
      <c r="B24" s="1535" t="s">
        <v>1349</v>
      </c>
      <c r="C24" s="1525">
        <v>23070</v>
      </c>
      <c r="D24" s="1525">
        <v>24130</v>
      </c>
      <c r="E24" s="1525">
        <v>23860</v>
      </c>
      <c r="F24" s="1540"/>
      <c r="K24" s="1525" t="s">
        <v>1424</v>
      </c>
      <c r="L24" s="1525" t="s">
        <v>1425</v>
      </c>
      <c r="M24" s="1525" t="s">
        <v>1426</v>
      </c>
      <c r="N24" s="1525" t="s">
        <v>1427</v>
      </c>
      <c r="O24" s="1525" t="s">
        <v>1428</v>
      </c>
      <c r="P24" s="1525" t="s">
        <v>1429</v>
      </c>
      <c r="Q24" s="1525" t="s">
        <v>1430</v>
      </c>
    </row>
    <row r="25" spans="1:18" ht="14.25" customHeight="1" thickBot="1">
      <c r="A25" s="1531" t="s">
        <v>1285</v>
      </c>
      <c r="B25" s="1535" t="s">
        <v>1359</v>
      </c>
      <c r="C25" s="1525">
        <v>27550</v>
      </c>
      <c r="D25" s="1525">
        <v>25850</v>
      </c>
      <c r="E25" s="1525">
        <v>25340</v>
      </c>
      <c r="F25" s="1540"/>
      <c r="K25" s="1525" t="s">
        <v>1431</v>
      </c>
      <c r="L25" s="1525" t="s">
        <v>1432</v>
      </c>
      <c r="M25" s="1525" t="s">
        <v>1433</v>
      </c>
      <c r="N25" s="1525" t="s">
        <v>1434</v>
      </c>
      <c r="O25" s="1525" t="s">
        <v>1435</v>
      </c>
      <c r="P25" s="1525" t="s">
        <v>1436</v>
      </c>
      <c r="Q25" s="1525" t="s">
        <v>1437</v>
      </c>
    </row>
    <row r="26" spans="1:18" ht="14.25" customHeight="1" thickBot="1">
      <c r="A26" s="1531" t="s">
        <v>1285</v>
      </c>
      <c r="B26" s="1535" t="s">
        <v>1369</v>
      </c>
      <c r="C26" s="1525"/>
      <c r="D26" s="1525">
        <v>23900</v>
      </c>
      <c r="E26" s="1525">
        <v>23590</v>
      </c>
      <c r="F26" s="1540"/>
      <c r="K26" s="1525" t="s">
        <v>1438</v>
      </c>
      <c r="L26" s="1525" t="s">
        <v>1439</v>
      </c>
      <c r="M26" s="1525" t="s">
        <v>1440</v>
      </c>
      <c r="N26" s="1525" t="s">
        <v>1441</v>
      </c>
      <c r="O26" s="1525" t="s">
        <v>1442</v>
      </c>
      <c r="P26" s="1525" t="s">
        <v>1443</v>
      </c>
      <c r="Q26" s="1525" t="s">
        <v>1444</v>
      </c>
    </row>
    <row r="27" spans="1:18" ht="14.25" customHeight="1" thickBot="1">
      <c r="A27" s="1531" t="s">
        <v>1285</v>
      </c>
      <c r="B27" s="1535" t="s">
        <v>1379</v>
      </c>
      <c r="C27" s="1525"/>
      <c r="D27" s="1525">
        <v>22850</v>
      </c>
      <c r="E27" s="1525">
        <v>21920</v>
      </c>
      <c r="F27" s="1540"/>
      <c r="K27" s="1525" t="s">
        <v>1445</v>
      </c>
      <c r="L27" s="1525" t="s">
        <v>1446</v>
      </c>
      <c r="M27" s="1525" t="s">
        <v>1447</v>
      </c>
      <c r="N27" s="1525" t="s">
        <v>1448</v>
      </c>
      <c r="O27" s="1525" t="s">
        <v>1449</v>
      </c>
      <c r="P27" s="1525" t="s">
        <v>1450</v>
      </c>
      <c r="Q27" s="1525" t="s">
        <v>1451</v>
      </c>
    </row>
    <row r="28" spans="1:18" ht="14.25" customHeight="1" thickBot="1">
      <c r="A28" s="1541" t="s">
        <v>1285</v>
      </c>
      <c r="B28" s="1536" t="s">
        <v>1389</v>
      </c>
      <c r="C28" s="1537"/>
      <c r="D28" s="1537">
        <v>26610</v>
      </c>
      <c r="E28" s="1537">
        <v>26370</v>
      </c>
      <c r="F28" s="1538"/>
      <c r="K28" s="1525" t="s">
        <v>1452</v>
      </c>
      <c r="L28" s="1525" t="s">
        <v>1453</v>
      </c>
      <c r="M28" s="1525" t="s">
        <v>1454</v>
      </c>
      <c r="N28" s="1525" t="s">
        <v>1455</v>
      </c>
      <c r="O28" s="1525" t="s">
        <v>1456</v>
      </c>
      <c r="P28" s="1525" t="s">
        <v>1457</v>
      </c>
    </row>
    <row r="29" spans="1:18" ht="14.25" customHeight="1" thickBot="1">
      <c r="A29" s="1531" t="s">
        <v>1458</v>
      </c>
      <c r="B29" s="1532" t="s">
        <v>1459</v>
      </c>
      <c r="C29" s="1532">
        <v>22090</v>
      </c>
      <c r="D29" s="1532">
        <v>21860</v>
      </c>
      <c r="E29" s="1532">
        <v>19380</v>
      </c>
      <c r="F29" s="1533">
        <v>6610</v>
      </c>
      <c r="L29" s="1525" t="s">
        <v>1460</v>
      </c>
      <c r="M29" s="1525" t="s">
        <v>1461</v>
      </c>
      <c r="N29" s="1525" t="s">
        <v>1462</v>
      </c>
      <c r="O29" s="1525" t="s">
        <v>1463</v>
      </c>
      <c r="P29" s="1525" t="s">
        <v>1464</v>
      </c>
    </row>
    <row r="30" spans="1:18" ht="14.25" customHeight="1" thickBot="1">
      <c r="A30" s="1531" t="s">
        <v>1458</v>
      </c>
      <c r="B30" s="1535" t="s">
        <v>1205</v>
      </c>
      <c r="C30" s="1525">
        <v>21380</v>
      </c>
      <c r="D30" s="1525">
        <v>19930</v>
      </c>
      <c r="E30" s="1525">
        <v>19860</v>
      </c>
      <c r="F30" s="1539">
        <v>6010</v>
      </c>
      <c r="L30" s="1525" t="s">
        <v>1465</v>
      </c>
      <c r="M30" s="1525" t="s">
        <v>1466</v>
      </c>
      <c r="N30" s="1525" t="s">
        <v>1467</v>
      </c>
      <c r="O30" s="1525" t="s">
        <v>2498</v>
      </c>
      <c r="P30" s="1525" t="s">
        <v>1468</v>
      </c>
    </row>
    <row r="31" spans="1:18" ht="14.25" customHeight="1" thickBot="1">
      <c r="A31" s="1531" t="s">
        <v>1458</v>
      </c>
      <c r="B31" s="1535" t="s">
        <v>1218</v>
      </c>
      <c r="C31" s="1525">
        <v>21670</v>
      </c>
      <c r="D31" s="1525">
        <v>20660</v>
      </c>
      <c r="E31" s="1525">
        <v>20290</v>
      </c>
      <c r="F31" s="1539">
        <v>5840</v>
      </c>
      <c r="L31" s="1525" t="s">
        <v>1469</v>
      </c>
      <c r="M31" s="1525" t="s">
        <v>1470</v>
      </c>
      <c r="N31" s="1525" t="s">
        <v>1471</v>
      </c>
      <c r="O31" s="1525" t="s">
        <v>1472</v>
      </c>
      <c r="P31" s="1525" t="s">
        <v>1473</v>
      </c>
    </row>
    <row r="32" spans="1:18" ht="14.25" customHeight="1" thickBot="1">
      <c r="A32" s="1531" t="s">
        <v>1458</v>
      </c>
      <c r="B32" s="1535" t="s">
        <v>1231</v>
      </c>
      <c r="C32" s="1525">
        <v>22280</v>
      </c>
      <c r="D32" s="1525">
        <v>21800</v>
      </c>
      <c r="E32" s="1525">
        <v>17650</v>
      </c>
      <c r="F32" s="1539">
        <v>4690</v>
      </c>
      <c r="L32" s="1525" t="s">
        <v>1474</v>
      </c>
      <c r="M32" s="1525" t="s">
        <v>1475</v>
      </c>
      <c r="N32" s="1525" t="s">
        <v>1476</v>
      </c>
      <c r="O32" s="1525" t="s">
        <v>1477</v>
      </c>
      <c r="P32" s="1525" t="s">
        <v>1478</v>
      </c>
    </row>
    <row r="33" spans="1:16" ht="14.25" customHeight="1" thickBot="1">
      <c r="A33" s="1531" t="s">
        <v>1458</v>
      </c>
      <c r="B33" s="1535" t="s">
        <v>1243</v>
      </c>
      <c r="C33" s="1525">
        <v>22130</v>
      </c>
      <c r="D33" s="1525">
        <v>20460</v>
      </c>
      <c r="E33" s="1525">
        <v>18500</v>
      </c>
      <c r="F33" s="1539">
        <v>5340</v>
      </c>
      <c r="L33" s="1525" t="s">
        <v>1479</v>
      </c>
      <c r="M33" s="1525" t="s">
        <v>1480</v>
      </c>
      <c r="N33" s="1525" t="s">
        <v>1481</v>
      </c>
      <c r="O33" s="1525" t="s">
        <v>1482</v>
      </c>
      <c r="P33" s="1525" t="s">
        <v>1483</v>
      </c>
    </row>
    <row r="34" spans="1:16" ht="14.25" customHeight="1" thickBot="1">
      <c r="A34" s="1531" t="s">
        <v>1458</v>
      </c>
      <c r="B34" s="1535" t="s">
        <v>1254</v>
      </c>
      <c r="C34" s="1525">
        <v>22070</v>
      </c>
      <c r="D34" s="1525">
        <v>20110</v>
      </c>
      <c r="E34" s="1525">
        <v>18830</v>
      </c>
      <c r="F34" s="1539">
        <v>5190</v>
      </c>
      <c r="L34" s="1525" t="s">
        <v>1484</v>
      </c>
      <c r="M34" s="1525" t="s">
        <v>1485</v>
      </c>
      <c r="N34" s="1525" t="s">
        <v>1486</v>
      </c>
      <c r="O34" s="1525" t="s">
        <v>1487</v>
      </c>
      <c r="P34" s="1525" t="s">
        <v>1488</v>
      </c>
    </row>
    <row r="35" spans="1:16" ht="14.25" customHeight="1" thickBot="1">
      <c r="A35" s="1531" t="s">
        <v>1458</v>
      </c>
      <c r="B35" s="1535" t="s">
        <v>1265</v>
      </c>
      <c r="C35" s="1525">
        <v>22240</v>
      </c>
      <c r="D35" s="1525">
        <v>19550</v>
      </c>
      <c r="E35" s="1525">
        <v>19220</v>
      </c>
      <c r="F35" s="1539">
        <v>5800</v>
      </c>
      <c r="L35" s="1525" t="s">
        <v>1489</v>
      </c>
      <c r="M35" s="1525" t="s">
        <v>1490</v>
      </c>
      <c r="N35" s="1525" t="s">
        <v>1491</v>
      </c>
      <c r="O35" s="1525" t="s">
        <v>1492</v>
      </c>
      <c r="P35" s="1525" t="s">
        <v>1493</v>
      </c>
    </row>
    <row r="36" spans="1:16" ht="14.25" customHeight="1" thickBot="1">
      <c r="A36" s="1531" t="s">
        <v>1458</v>
      </c>
      <c r="B36" s="1535" t="s">
        <v>1276</v>
      </c>
      <c r="C36" s="1525">
        <v>19750</v>
      </c>
      <c r="D36" s="1525">
        <v>19790</v>
      </c>
      <c r="E36" s="1525">
        <v>18510</v>
      </c>
      <c r="F36" s="1539">
        <v>6520</v>
      </c>
      <c r="M36" s="1525" t="s">
        <v>1494</v>
      </c>
      <c r="N36" s="1525" t="s">
        <v>1495</v>
      </c>
      <c r="O36" s="1525" t="s">
        <v>1496</v>
      </c>
      <c r="P36" s="1525" t="s">
        <v>1497</v>
      </c>
    </row>
    <row r="37" spans="1:16" ht="14.25" customHeight="1" thickBot="1">
      <c r="A37" s="1531" t="s">
        <v>1458</v>
      </c>
      <c r="B37" s="1535" t="s">
        <v>1288</v>
      </c>
      <c r="C37" s="1525">
        <v>22380</v>
      </c>
      <c r="D37" s="1525">
        <v>18530</v>
      </c>
      <c r="E37" s="1525">
        <v>17930</v>
      </c>
      <c r="F37" s="1539">
        <v>6270</v>
      </c>
      <c r="M37" s="1525" t="s">
        <v>1498</v>
      </c>
      <c r="N37" s="1525" t="s">
        <v>1499</v>
      </c>
      <c r="O37" s="1525" t="s">
        <v>1500</v>
      </c>
      <c r="P37" s="1525" t="s">
        <v>1501</v>
      </c>
    </row>
    <row r="38" spans="1:16" ht="14.25" customHeight="1" thickBot="1">
      <c r="A38" s="1531" t="s">
        <v>1458</v>
      </c>
      <c r="B38" s="1535" t="s">
        <v>1298</v>
      </c>
      <c r="C38" s="1525">
        <v>20200</v>
      </c>
      <c r="D38" s="1525">
        <v>20070</v>
      </c>
      <c r="E38" s="1525">
        <v>19950</v>
      </c>
      <c r="F38" s="1539"/>
      <c r="M38" s="1525" t="s">
        <v>1502</v>
      </c>
      <c r="N38" s="1525" t="s">
        <v>1503</v>
      </c>
      <c r="O38" s="1525" t="s">
        <v>1504</v>
      </c>
      <c r="P38" s="1525" t="s">
        <v>1505</v>
      </c>
    </row>
    <row r="39" spans="1:16" ht="14.25" customHeight="1" thickBot="1">
      <c r="A39" s="1531" t="s">
        <v>1458</v>
      </c>
      <c r="B39" s="1535" t="s">
        <v>1308</v>
      </c>
      <c r="C39" s="1525">
        <v>19300</v>
      </c>
      <c r="D39" s="1525">
        <v>20360</v>
      </c>
      <c r="E39" s="1525">
        <v>20230</v>
      </c>
      <c r="F39" s="1539"/>
      <c r="M39" s="1525" t="s">
        <v>1506</v>
      </c>
      <c r="N39" s="1525" t="s">
        <v>1507</v>
      </c>
      <c r="O39" s="1525" t="s">
        <v>1508</v>
      </c>
      <c r="P39" s="1525" t="s">
        <v>1509</v>
      </c>
    </row>
    <row r="40" spans="1:16" ht="14.25" customHeight="1" thickBot="1">
      <c r="A40" s="1531" t="s">
        <v>1458</v>
      </c>
      <c r="B40" s="1535" t="s">
        <v>1318</v>
      </c>
      <c r="C40" s="1525">
        <v>20210</v>
      </c>
      <c r="D40" s="1525">
        <v>19060</v>
      </c>
      <c r="E40" s="1525">
        <v>18890</v>
      </c>
      <c r="F40" s="1539"/>
      <c r="M40" s="1525" t="s">
        <v>1510</v>
      </c>
      <c r="N40" s="1525" t="s">
        <v>1511</v>
      </c>
      <c r="O40" s="1525" t="s">
        <v>1512</v>
      </c>
      <c r="P40" s="1525" t="s">
        <v>1513</v>
      </c>
    </row>
    <row r="41" spans="1:16" ht="14.25" customHeight="1" thickBot="1">
      <c r="A41" s="1531" t="s">
        <v>1458</v>
      </c>
      <c r="B41" s="1535" t="s">
        <v>1328</v>
      </c>
      <c r="C41" s="1525">
        <v>20560</v>
      </c>
      <c r="D41" s="1525">
        <v>21040</v>
      </c>
      <c r="E41" s="1525">
        <v>20740</v>
      </c>
      <c r="F41" s="1539"/>
      <c r="M41" s="1535" t="s">
        <v>1514</v>
      </c>
      <c r="N41" s="1535" t="s">
        <v>1515</v>
      </c>
      <c r="P41" s="1535" t="s">
        <v>1516</v>
      </c>
    </row>
    <row r="42" spans="1:16" ht="14.25" customHeight="1" thickBot="1">
      <c r="A42" s="1531" t="s">
        <v>1458</v>
      </c>
      <c r="B42" s="1535" t="s">
        <v>1339</v>
      </c>
      <c r="C42" s="1525">
        <v>19280</v>
      </c>
      <c r="D42" s="1525">
        <v>22940</v>
      </c>
      <c r="E42" s="1525">
        <v>22500</v>
      </c>
      <c r="F42" s="1539"/>
      <c r="M42" s="1525" t="s">
        <v>1517</v>
      </c>
      <c r="N42" s="1525" t="s">
        <v>1518</v>
      </c>
      <c r="P42" s="1525" t="s">
        <v>1519</v>
      </c>
    </row>
    <row r="43" spans="1:16" ht="14.25" customHeight="1" thickBot="1">
      <c r="A43" s="1531" t="s">
        <v>1458</v>
      </c>
      <c r="B43" s="1535" t="s">
        <v>1350</v>
      </c>
      <c r="C43" s="1525">
        <v>21520</v>
      </c>
      <c r="D43" s="1525">
        <v>19230</v>
      </c>
      <c r="E43" s="1525">
        <v>18540</v>
      </c>
      <c r="F43" s="1539"/>
      <c r="M43" s="1525" t="s">
        <v>1520</v>
      </c>
      <c r="N43" s="1525" t="s">
        <v>1521</v>
      </c>
      <c r="P43" s="1525" t="s">
        <v>1522</v>
      </c>
    </row>
    <row r="44" spans="1:16" ht="14.25" customHeight="1" thickBot="1">
      <c r="A44" s="1531" t="s">
        <v>1458</v>
      </c>
      <c r="B44" s="1535" t="s">
        <v>1360</v>
      </c>
      <c r="C44" s="1525">
        <v>23260</v>
      </c>
      <c r="D44" s="1525">
        <v>21180</v>
      </c>
      <c r="E44" s="1525">
        <v>20730</v>
      </c>
      <c r="F44" s="1539"/>
      <c r="M44" s="1525" t="s">
        <v>1523</v>
      </c>
      <c r="N44" s="1525" t="s">
        <v>1524</v>
      </c>
      <c r="P44" s="1525" t="s">
        <v>1525</v>
      </c>
    </row>
    <row r="45" spans="1:16" ht="14.25" customHeight="1" thickBot="1">
      <c r="A45" s="1531" t="s">
        <v>1458</v>
      </c>
      <c r="B45" s="1535" t="s">
        <v>1370</v>
      </c>
      <c r="C45" s="1525">
        <v>19610</v>
      </c>
      <c r="D45" s="1525">
        <v>18090</v>
      </c>
      <c r="E45" s="1525">
        <v>17970</v>
      </c>
      <c r="F45" s="1539"/>
      <c r="M45" s="1525" t="s">
        <v>1526</v>
      </c>
      <c r="N45" s="1525" t="s">
        <v>1527</v>
      </c>
      <c r="P45" s="1525" t="s">
        <v>1528</v>
      </c>
    </row>
    <row r="46" spans="1:16" ht="14.25" customHeight="1" thickBot="1">
      <c r="A46" s="1531" t="s">
        <v>1458</v>
      </c>
      <c r="B46" s="1535" t="s">
        <v>1380</v>
      </c>
      <c r="C46" s="1525">
        <v>21660</v>
      </c>
      <c r="D46" s="1525">
        <v>19190</v>
      </c>
      <c r="E46" s="1525">
        <v>19790</v>
      </c>
      <c r="F46" s="1539"/>
      <c r="M46" s="1525" t="s">
        <v>1529</v>
      </c>
      <c r="N46" s="1525" t="s">
        <v>1530</v>
      </c>
      <c r="P46" s="1525" t="s">
        <v>1531</v>
      </c>
    </row>
    <row r="47" spans="1:16" ht="14.25" customHeight="1" thickBot="1">
      <c r="A47" s="1531" t="s">
        <v>1458</v>
      </c>
      <c r="B47" s="1535" t="s">
        <v>1390</v>
      </c>
      <c r="C47" s="1525">
        <v>18220</v>
      </c>
      <c r="D47" s="1525"/>
      <c r="E47" s="1525">
        <v>17220</v>
      </c>
      <c r="F47" s="1539"/>
      <c r="M47" s="1525" t="s">
        <v>1532</v>
      </c>
      <c r="N47" s="1525" t="s">
        <v>1533</v>
      </c>
    </row>
    <row r="48" spans="1:16" ht="14.25" customHeight="1" thickBot="1">
      <c r="A48" s="1531" t="s">
        <v>1458</v>
      </c>
      <c r="B48" s="1536" t="s">
        <v>1399</v>
      </c>
      <c r="C48" s="1537">
        <v>19430</v>
      </c>
      <c r="D48" s="1537"/>
      <c r="E48" s="1537">
        <v>17830</v>
      </c>
      <c r="F48" s="1542"/>
      <c r="M48" s="1525" t="s">
        <v>1534</v>
      </c>
      <c r="N48" s="1525" t="s">
        <v>1535</v>
      </c>
    </row>
    <row r="49" spans="1:14" ht="14.25" customHeight="1" thickBot="1">
      <c r="A49" s="1531" t="s">
        <v>1139</v>
      </c>
      <c r="B49" s="1532" t="s">
        <v>1536</v>
      </c>
      <c r="C49" s="1532">
        <v>17090</v>
      </c>
      <c r="D49" s="1532">
        <v>16950</v>
      </c>
      <c r="E49" s="1532">
        <v>16310</v>
      </c>
      <c r="F49" s="1533">
        <v>4540</v>
      </c>
      <c r="M49" s="1525" t="s">
        <v>1537</v>
      </c>
      <c r="N49" s="1525" t="s">
        <v>1538</v>
      </c>
    </row>
    <row r="50" spans="1:14" ht="14.25" customHeight="1" thickBot="1">
      <c r="A50" s="1531" t="s">
        <v>1139</v>
      </c>
      <c r="B50" s="1525" t="s">
        <v>1206</v>
      </c>
      <c r="C50" s="1525">
        <v>19040</v>
      </c>
      <c r="D50" s="1525">
        <v>16960</v>
      </c>
      <c r="E50" s="1525">
        <v>14800</v>
      </c>
      <c r="F50" s="1539">
        <v>3940</v>
      </c>
    </row>
    <row r="51" spans="1:14" ht="14.25" customHeight="1" thickBot="1">
      <c r="A51" s="1531" t="s">
        <v>1139</v>
      </c>
      <c r="B51" s="1525" t="s">
        <v>1219</v>
      </c>
      <c r="C51" s="1525">
        <v>17040</v>
      </c>
      <c r="D51" s="1525">
        <v>16930</v>
      </c>
      <c r="E51" s="1525">
        <v>15030</v>
      </c>
      <c r="F51" s="1539">
        <v>4120</v>
      </c>
    </row>
    <row r="52" spans="1:14" ht="14.25" customHeight="1" thickBot="1">
      <c r="A52" s="1531" t="s">
        <v>1139</v>
      </c>
      <c r="B52" s="1525" t="s">
        <v>1232</v>
      </c>
      <c r="C52" s="1525">
        <v>17110</v>
      </c>
      <c r="D52" s="1525">
        <v>17750</v>
      </c>
      <c r="E52" s="1525">
        <v>17310</v>
      </c>
      <c r="F52" s="1539">
        <v>3220</v>
      </c>
    </row>
    <row r="53" spans="1:14" ht="14.25" customHeight="1" thickBot="1">
      <c r="A53" s="1531" t="s">
        <v>1139</v>
      </c>
      <c r="B53" s="1525" t="s">
        <v>1244</v>
      </c>
      <c r="C53" s="1525">
        <v>17810</v>
      </c>
      <c r="D53" s="1525">
        <v>17260</v>
      </c>
      <c r="E53" s="1525">
        <v>17090</v>
      </c>
      <c r="F53" s="1539">
        <v>3520</v>
      </c>
    </row>
    <row r="54" spans="1:14" ht="14.25" customHeight="1" thickBot="1">
      <c r="A54" s="1531" t="s">
        <v>1139</v>
      </c>
      <c r="B54" s="1525" t="s">
        <v>1255</v>
      </c>
      <c r="C54" s="1525">
        <v>17410</v>
      </c>
      <c r="D54" s="1525">
        <v>16780</v>
      </c>
      <c r="E54" s="1525">
        <v>16370</v>
      </c>
      <c r="F54" s="1539">
        <v>3410</v>
      </c>
    </row>
    <row r="55" spans="1:14" ht="14.25" customHeight="1" thickBot="1">
      <c r="A55" s="1531" t="s">
        <v>1139</v>
      </c>
      <c r="B55" s="1525" t="s">
        <v>1266</v>
      </c>
      <c r="C55" s="1525">
        <v>16930</v>
      </c>
      <c r="D55" s="1525">
        <v>14720</v>
      </c>
      <c r="E55" s="1525">
        <v>15000</v>
      </c>
      <c r="F55" s="1539">
        <v>3710</v>
      </c>
    </row>
    <row r="56" spans="1:14" ht="14.25" customHeight="1" thickBot="1">
      <c r="A56" s="1531" t="s">
        <v>1139</v>
      </c>
      <c r="B56" s="1525" t="s">
        <v>1277</v>
      </c>
      <c r="C56" s="1525">
        <v>14930</v>
      </c>
      <c r="D56" s="1525">
        <v>15850</v>
      </c>
      <c r="E56" s="1525">
        <v>14320</v>
      </c>
      <c r="F56" s="1539">
        <v>3960</v>
      </c>
    </row>
    <row r="57" spans="1:14" ht="14.25" customHeight="1" thickBot="1">
      <c r="A57" s="1531" t="s">
        <v>1139</v>
      </c>
      <c r="B57" s="1525" t="s">
        <v>1289</v>
      </c>
      <c r="C57" s="1525">
        <v>16160</v>
      </c>
      <c r="D57" s="1525">
        <v>16190</v>
      </c>
      <c r="E57" s="1525">
        <v>15650</v>
      </c>
      <c r="F57" s="1539">
        <v>4200</v>
      </c>
    </row>
    <row r="58" spans="1:14" ht="14.25" customHeight="1" thickBot="1">
      <c r="A58" s="1531" t="s">
        <v>1139</v>
      </c>
      <c r="B58" s="1525" t="s">
        <v>1299</v>
      </c>
      <c r="C58" s="1525">
        <v>16360</v>
      </c>
      <c r="D58" s="1525">
        <v>14050</v>
      </c>
      <c r="E58" s="1525">
        <v>16070</v>
      </c>
      <c r="F58" s="1539">
        <v>3990</v>
      </c>
    </row>
    <row r="59" spans="1:14" ht="14.25" customHeight="1" thickBot="1">
      <c r="A59" s="1531" t="s">
        <v>1139</v>
      </c>
      <c r="B59" s="1525" t="s">
        <v>1309</v>
      </c>
      <c r="C59" s="1525">
        <v>14160</v>
      </c>
      <c r="D59" s="1525">
        <v>16620</v>
      </c>
      <c r="E59" s="1525">
        <v>13940</v>
      </c>
      <c r="F59" s="1539">
        <v>4260</v>
      </c>
    </row>
    <row r="60" spans="1:14" ht="14.25" customHeight="1" thickBot="1">
      <c r="A60" s="1531" t="s">
        <v>1139</v>
      </c>
      <c r="B60" s="1525" t="s">
        <v>1319</v>
      </c>
      <c r="C60" s="1525">
        <v>16750</v>
      </c>
      <c r="D60" s="1525">
        <v>13910</v>
      </c>
      <c r="E60" s="1525">
        <v>16550</v>
      </c>
      <c r="F60" s="1539">
        <v>4550</v>
      </c>
    </row>
    <row r="61" spans="1:14" ht="14.25" customHeight="1" thickBot="1">
      <c r="A61" s="1531" t="s">
        <v>1139</v>
      </c>
      <c r="B61" s="1525" t="s">
        <v>1329</v>
      </c>
      <c r="C61" s="1525">
        <v>14000</v>
      </c>
      <c r="D61" s="1525">
        <v>14550</v>
      </c>
      <c r="E61" s="1525">
        <v>13860</v>
      </c>
      <c r="F61" s="1543"/>
    </row>
    <row r="62" spans="1:14" ht="14.25" customHeight="1" thickBot="1">
      <c r="A62" s="1531" t="s">
        <v>1139</v>
      </c>
      <c r="B62" s="1525" t="s">
        <v>1340</v>
      </c>
      <c r="C62" s="1525">
        <v>14660</v>
      </c>
      <c r="D62" s="1525">
        <v>17450</v>
      </c>
      <c r="E62" s="1525">
        <v>14470</v>
      </c>
      <c r="F62" s="1543"/>
    </row>
    <row r="63" spans="1:14" ht="14.25" customHeight="1" thickBot="1">
      <c r="A63" s="1531" t="s">
        <v>1139</v>
      </c>
      <c r="B63" s="1525" t="s">
        <v>1351</v>
      </c>
      <c r="C63" s="1525">
        <v>17610</v>
      </c>
      <c r="D63" s="1525">
        <v>16500</v>
      </c>
      <c r="E63" s="1525">
        <v>17330</v>
      </c>
      <c r="F63" s="1543"/>
    </row>
    <row r="64" spans="1:14" ht="14.25" customHeight="1" thickBot="1">
      <c r="A64" s="1531" t="s">
        <v>1139</v>
      </c>
      <c r="B64" s="1525" t="s">
        <v>1361</v>
      </c>
      <c r="C64" s="1525">
        <v>16590</v>
      </c>
      <c r="D64" s="1525">
        <v>15130</v>
      </c>
      <c r="E64" s="1525">
        <v>16420</v>
      </c>
      <c r="F64" s="1543"/>
    </row>
    <row r="65" spans="1:6" s="1519" customFormat="1" ht="14.25" customHeight="1" thickBot="1">
      <c r="A65" s="1531" t="s">
        <v>1139</v>
      </c>
      <c r="B65" s="1525" t="s">
        <v>1371</v>
      </c>
      <c r="C65" s="1525">
        <v>15220</v>
      </c>
      <c r="D65" s="1525">
        <v>14660</v>
      </c>
      <c r="E65" s="1525">
        <v>15060</v>
      </c>
      <c r="F65" s="1539"/>
    </row>
    <row r="66" spans="1:6" s="1519" customFormat="1" ht="14.25" customHeight="1" thickBot="1">
      <c r="A66" s="1531" t="s">
        <v>1139</v>
      </c>
      <c r="B66" s="1525" t="s">
        <v>1381</v>
      </c>
      <c r="C66" s="1525">
        <v>14720</v>
      </c>
      <c r="D66" s="1525">
        <v>15970</v>
      </c>
      <c r="E66" s="1525">
        <v>14610</v>
      </c>
      <c r="F66" s="1539"/>
    </row>
    <row r="67" spans="1:6" s="1519" customFormat="1" ht="14.25" customHeight="1" thickBot="1">
      <c r="A67" s="1531" t="s">
        <v>1139</v>
      </c>
      <c r="B67" s="1525" t="s">
        <v>1391</v>
      </c>
      <c r="C67" s="1525">
        <v>16080</v>
      </c>
      <c r="D67" s="1525">
        <v>14840</v>
      </c>
      <c r="E67" s="1525">
        <v>15630</v>
      </c>
      <c r="F67" s="1539"/>
    </row>
    <row r="68" spans="1:6" s="1519" customFormat="1" ht="14.25" customHeight="1" thickBot="1">
      <c r="A68" s="1531" t="s">
        <v>1139</v>
      </c>
      <c r="B68" s="1525" t="s">
        <v>1400</v>
      </c>
      <c r="C68" s="1525">
        <v>14940</v>
      </c>
      <c r="D68" s="1525">
        <v>18000</v>
      </c>
      <c r="E68" s="1525">
        <v>14040</v>
      </c>
      <c r="F68" s="1539"/>
    </row>
    <row r="69" spans="1:6" s="1519" customFormat="1" ht="14.25" customHeight="1" thickBot="1">
      <c r="A69" s="1531" t="s">
        <v>1139</v>
      </c>
      <c r="B69" s="1525" t="s">
        <v>1409</v>
      </c>
      <c r="C69" s="1525">
        <v>18810</v>
      </c>
      <c r="D69" s="1525">
        <v>15100</v>
      </c>
      <c r="E69" s="1525">
        <v>14710</v>
      </c>
      <c r="F69" s="1539"/>
    </row>
    <row r="70" spans="1:6" s="1519" customFormat="1" ht="14.25" customHeight="1" thickBot="1">
      <c r="A70" s="1531" t="s">
        <v>1139</v>
      </c>
      <c r="B70" s="1525" t="s">
        <v>1417</v>
      </c>
      <c r="C70" s="1525">
        <v>18270</v>
      </c>
      <c r="D70" s="1525"/>
      <c r="E70" s="1525"/>
      <c r="F70" s="1539"/>
    </row>
    <row r="71" spans="1:6" s="1519" customFormat="1" ht="14.25" customHeight="1" thickBot="1">
      <c r="A71" s="1531" t="s">
        <v>1139</v>
      </c>
      <c r="B71" s="1525" t="s">
        <v>1424</v>
      </c>
      <c r="C71" s="1525">
        <v>15230</v>
      </c>
      <c r="D71" s="1525"/>
      <c r="E71" s="1525"/>
      <c r="F71" s="1539"/>
    </row>
    <row r="72" spans="1:6" s="1519" customFormat="1" ht="14.25" customHeight="1" thickBot="1">
      <c r="A72" s="1531" t="s">
        <v>1139</v>
      </c>
      <c r="B72" s="1525" t="s">
        <v>1431</v>
      </c>
      <c r="C72" s="1525"/>
      <c r="D72" s="1525"/>
      <c r="E72" s="1525"/>
      <c r="F72" s="1539">
        <v>4120</v>
      </c>
    </row>
    <row r="73" spans="1:6" s="1519" customFormat="1" ht="14.25" customHeight="1" thickBot="1">
      <c r="A73" s="1531" t="s">
        <v>1139</v>
      </c>
      <c r="B73" s="1525" t="s">
        <v>1438</v>
      </c>
      <c r="C73" s="1525"/>
      <c r="D73" s="1525"/>
      <c r="E73" s="1525"/>
      <c r="F73" s="1539">
        <v>3930</v>
      </c>
    </row>
    <row r="74" spans="1:6" s="1519" customFormat="1" ht="14.25" customHeight="1" thickBot="1">
      <c r="A74" s="1531" t="s">
        <v>1139</v>
      </c>
      <c r="B74" s="1525" t="s">
        <v>1445</v>
      </c>
      <c r="C74" s="1525"/>
      <c r="D74" s="1525"/>
      <c r="E74" s="1525"/>
      <c r="F74" s="1539">
        <v>4060</v>
      </c>
    </row>
    <row r="75" spans="1:6" s="1519" customFormat="1" ht="14.25" customHeight="1" thickBot="1">
      <c r="A75" s="1531" t="s">
        <v>1139</v>
      </c>
      <c r="B75" s="1537" t="s">
        <v>1452</v>
      </c>
      <c r="C75" s="1537"/>
      <c r="D75" s="1537"/>
      <c r="E75" s="1537"/>
      <c r="F75" s="1542">
        <v>3750</v>
      </c>
    </row>
    <row r="76" spans="1:6" s="1519" customFormat="1" ht="14.25" customHeight="1" thickBot="1">
      <c r="A76" s="1531" t="s">
        <v>1539</v>
      </c>
      <c r="B76" s="1532" t="s">
        <v>1540</v>
      </c>
      <c r="C76" s="1532">
        <v>14690</v>
      </c>
      <c r="D76" s="1532">
        <v>14640</v>
      </c>
      <c r="E76" s="1532">
        <v>14590</v>
      </c>
      <c r="F76" s="1533">
        <v>3060</v>
      </c>
    </row>
    <row r="77" spans="1:6" s="1519" customFormat="1" ht="14.25" customHeight="1" thickBot="1">
      <c r="A77" s="1531" t="s">
        <v>1539</v>
      </c>
      <c r="B77" s="1525" t="s">
        <v>1207</v>
      </c>
      <c r="C77" s="1525">
        <v>12550</v>
      </c>
      <c r="D77" s="1525">
        <v>12480</v>
      </c>
      <c r="E77" s="1525">
        <v>12450</v>
      </c>
      <c r="F77" s="1539">
        <v>2590</v>
      </c>
    </row>
    <row r="78" spans="1:6" s="1519" customFormat="1" ht="14.25" customHeight="1" thickBot="1">
      <c r="A78" s="1531" t="s">
        <v>1539</v>
      </c>
      <c r="B78" s="1525" t="s">
        <v>1220</v>
      </c>
      <c r="C78" s="1525">
        <v>14360</v>
      </c>
      <c r="D78" s="1525">
        <v>14320</v>
      </c>
      <c r="E78" s="1525">
        <v>12510</v>
      </c>
      <c r="F78" s="1539">
        <v>2700</v>
      </c>
    </row>
    <row r="79" spans="1:6" s="1519" customFormat="1" ht="14.25" customHeight="1" thickBot="1">
      <c r="A79" s="1531" t="s">
        <v>1539</v>
      </c>
      <c r="B79" s="1525" t="s">
        <v>1233</v>
      </c>
      <c r="C79" s="1525">
        <v>12590</v>
      </c>
      <c r="D79" s="1525">
        <v>12540</v>
      </c>
      <c r="E79" s="1525">
        <v>12350</v>
      </c>
      <c r="F79" s="1539">
        <v>2740</v>
      </c>
    </row>
    <row r="80" spans="1:6" s="1519" customFormat="1" ht="14.25" customHeight="1" thickBot="1">
      <c r="A80" s="1531" t="s">
        <v>1539</v>
      </c>
      <c r="B80" s="1525" t="s">
        <v>1245</v>
      </c>
      <c r="C80" s="1525">
        <v>12450</v>
      </c>
      <c r="D80" s="1525">
        <v>12370</v>
      </c>
      <c r="E80" s="1525">
        <v>10790</v>
      </c>
      <c r="F80" s="1539">
        <v>2290</v>
      </c>
    </row>
    <row r="81" spans="1:6" s="1519" customFormat="1" ht="14.25" customHeight="1" thickBot="1">
      <c r="A81" s="1531" t="s">
        <v>1539</v>
      </c>
      <c r="B81" s="1525" t="s">
        <v>1256</v>
      </c>
      <c r="C81" s="1525">
        <v>14210</v>
      </c>
      <c r="D81" s="1525">
        <v>14150</v>
      </c>
      <c r="E81" s="1525">
        <v>12730</v>
      </c>
      <c r="F81" s="1539">
        <v>2240</v>
      </c>
    </row>
    <row r="82" spans="1:6" s="1519" customFormat="1" ht="14.25" customHeight="1" thickBot="1">
      <c r="A82" s="1531" t="s">
        <v>1539</v>
      </c>
      <c r="B82" s="1525" t="s">
        <v>1267</v>
      </c>
      <c r="C82" s="1525">
        <v>10860</v>
      </c>
      <c r="D82" s="1525">
        <v>10820</v>
      </c>
      <c r="E82" s="1525">
        <v>14720</v>
      </c>
      <c r="F82" s="1539">
        <v>2490</v>
      </c>
    </row>
    <row r="83" spans="1:6" s="1519" customFormat="1" ht="14.25" customHeight="1" thickBot="1">
      <c r="A83" s="1531" t="s">
        <v>1539</v>
      </c>
      <c r="B83" s="1525" t="s">
        <v>1278</v>
      </c>
      <c r="C83" s="1525">
        <v>12810</v>
      </c>
      <c r="D83" s="1525">
        <v>12760</v>
      </c>
      <c r="E83" s="1525">
        <v>14830</v>
      </c>
      <c r="F83" s="1539">
        <v>2450</v>
      </c>
    </row>
    <row r="84" spans="1:6" s="1519" customFormat="1" ht="14.25" customHeight="1" thickBot="1">
      <c r="A84" s="1531" t="s">
        <v>1539</v>
      </c>
      <c r="B84" s="1525" t="s">
        <v>1290</v>
      </c>
      <c r="C84" s="1525">
        <v>14950</v>
      </c>
      <c r="D84" s="1525">
        <v>14810</v>
      </c>
      <c r="E84" s="1525">
        <v>12590</v>
      </c>
      <c r="F84" s="1539">
        <v>2540</v>
      </c>
    </row>
    <row r="85" spans="1:6" s="1519" customFormat="1" ht="14.25" customHeight="1" thickBot="1">
      <c r="A85" s="1531" t="s">
        <v>1539</v>
      </c>
      <c r="B85" s="1525" t="s">
        <v>1300</v>
      </c>
      <c r="C85" s="1525">
        <v>14960</v>
      </c>
      <c r="D85" s="1525">
        <v>14890</v>
      </c>
      <c r="E85" s="1525">
        <v>12840</v>
      </c>
      <c r="F85" s="1539">
        <v>2840</v>
      </c>
    </row>
    <row r="86" spans="1:6" s="1519" customFormat="1" ht="14.25" customHeight="1" thickBot="1">
      <c r="A86" s="1531" t="s">
        <v>1539</v>
      </c>
      <c r="B86" s="1525" t="s">
        <v>1310</v>
      </c>
      <c r="C86" s="1525">
        <v>12730</v>
      </c>
      <c r="D86" s="1525">
        <v>12660</v>
      </c>
      <c r="E86" s="1525">
        <v>13310</v>
      </c>
      <c r="F86" s="1539">
        <v>3140</v>
      </c>
    </row>
    <row r="87" spans="1:6" s="1519" customFormat="1" ht="14.25" customHeight="1" thickBot="1">
      <c r="A87" s="1531" t="s">
        <v>1539</v>
      </c>
      <c r="B87" s="1525" t="s">
        <v>1320</v>
      </c>
      <c r="C87" s="1525">
        <v>12940</v>
      </c>
      <c r="D87" s="1525">
        <v>12890</v>
      </c>
      <c r="E87" s="1525">
        <v>11580</v>
      </c>
      <c r="F87" s="1543"/>
    </row>
    <row r="88" spans="1:6" s="1519" customFormat="1" ht="14.25" customHeight="1" thickBot="1">
      <c r="A88" s="1531" t="s">
        <v>1539</v>
      </c>
      <c r="B88" s="1525" t="s">
        <v>1330</v>
      </c>
      <c r="C88" s="1525">
        <v>13430</v>
      </c>
      <c r="D88" s="1525">
        <v>13360</v>
      </c>
      <c r="E88" s="1525">
        <v>12790</v>
      </c>
      <c r="F88" s="1543"/>
    </row>
    <row r="89" spans="1:6" s="1519" customFormat="1" ht="14.25" customHeight="1" thickBot="1">
      <c r="A89" s="1531" t="s">
        <v>1539</v>
      </c>
      <c r="B89" s="1525" t="s">
        <v>1341</v>
      </c>
      <c r="C89" s="1525">
        <v>11680</v>
      </c>
      <c r="D89" s="1525">
        <v>11630</v>
      </c>
      <c r="E89" s="1525">
        <v>11320</v>
      </c>
      <c r="F89" s="1543"/>
    </row>
    <row r="90" spans="1:6" s="1519" customFormat="1" ht="14.25" customHeight="1" thickBot="1">
      <c r="A90" s="1531" t="s">
        <v>1539</v>
      </c>
      <c r="B90" s="1525" t="s">
        <v>1352</v>
      </c>
      <c r="C90" s="1525">
        <v>12890</v>
      </c>
      <c r="D90" s="1525">
        <v>12820</v>
      </c>
      <c r="E90" s="1525">
        <v>12710</v>
      </c>
      <c r="F90" s="1543"/>
    </row>
    <row r="91" spans="1:6" s="1519" customFormat="1" ht="14.25" customHeight="1" thickBot="1">
      <c r="A91" s="1531" t="s">
        <v>1539</v>
      </c>
      <c r="B91" s="1525" t="s">
        <v>1362</v>
      </c>
      <c r="C91" s="1525">
        <v>11410</v>
      </c>
      <c r="D91" s="1525">
        <v>11360</v>
      </c>
      <c r="E91" s="1525">
        <v>12670</v>
      </c>
      <c r="F91" s="1543"/>
    </row>
    <row r="92" spans="1:6" s="1519" customFormat="1" ht="14.25" customHeight="1" thickBot="1">
      <c r="A92" s="1531" t="s">
        <v>1539</v>
      </c>
      <c r="B92" s="1525" t="s">
        <v>1372</v>
      </c>
      <c r="C92" s="1525">
        <v>12770</v>
      </c>
      <c r="D92" s="1525">
        <v>12740</v>
      </c>
      <c r="E92" s="1525">
        <v>11970</v>
      </c>
      <c r="F92" s="1543"/>
    </row>
    <row r="93" spans="1:6" s="1519" customFormat="1" ht="14.25" customHeight="1" thickBot="1">
      <c r="A93" s="1531" t="s">
        <v>1539</v>
      </c>
      <c r="B93" s="1525" t="s">
        <v>1382</v>
      </c>
      <c r="C93" s="1525">
        <v>12740</v>
      </c>
      <c r="D93" s="1525">
        <v>12700</v>
      </c>
      <c r="E93" s="1525">
        <v>12540</v>
      </c>
      <c r="F93" s="1543"/>
    </row>
    <row r="94" spans="1:6" s="1519" customFormat="1" ht="14.25" customHeight="1" thickBot="1">
      <c r="A94" s="1531" t="s">
        <v>1539</v>
      </c>
      <c r="B94" s="1525" t="s">
        <v>1392</v>
      </c>
      <c r="C94" s="1525">
        <v>12020</v>
      </c>
      <c r="D94" s="1525">
        <v>11990</v>
      </c>
      <c r="E94" s="1525">
        <v>13110</v>
      </c>
      <c r="F94" s="1543"/>
    </row>
    <row r="95" spans="1:6" s="1519" customFormat="1" ht="14.25" customHeight="1" thickBot="1">
      <c r="A95" s="1531" t="s">
        <v>1539</v>
      </c>
      <c r="B95" s="1525" t="s">
        <v>1401</v>
      </c>
      <c r="C95" s="1525">
        <v>12620</v>
      </c>
      <c r="D95" s="1525">
        <v>12580</v>
      </c>
      <c r="E95" s="1525">
        <v>13160</v>
      </c>
      <c r="F95" s="1539"/>
    </row>
    <row r="96" spans="1:6" s="1519" customFormat="1" ht="14.25" customHeight="1" thickBot="1">
      <c r="A96" s="1531" t="s">
        <v>1539</v>
      </c>
      <c r="B96" s="1525" t="s">
        <v>1410</v>
      </c>
      <c r="C96" s="1525">
        <v>13200</v>
      </c>
      <c r="D96" s="1525">
        <v>13150</v>
      </c>
      <c r="E96" s="1525">
        <v>12900</v>
      </c>
      <c r="F96" s="1539"/>
    </row>
    <row r="97" spans="1:6" s="1519" customFormat="1" ht="14.25" customHeight="1" thickBot="1">
      <c r="A97" s="1531" t="s">
        <v>1539</v>
      </c>
      <c r="B97" s="1525" t="s">
        <v>1418</v>
      </c>
      <c r="C97" s="1525">
        <v>13270</v>
      </c>
      <c r="D97" s="1525">
        <v>13210</v>
      </c>
      <c r="E97" s="1525">
        <v>11080</v>
      </c>
      <c r="F97" s="1539"/>
    </row>
    <row r="98" spans="1:6" s="1519" customFormat="1" ht="14.25" customHeight="1" thickBot="1">
      <c r="A98" s="1531" t="s">
        <v>1539</v>
      </c>
      <c r="B98" s="1525" t="s">
        <v>1425</v>
      </c>
      <c r="C98" s="1525">
        <v>13010</v>
      </c>
      <c r="D98" s="1525">
        <v>12930</v>
      </c>
      <c r="E98" s="1525">
        <v>12840</v>
      </c>
      <c r="F98" s="1539"/>
    </row>
    <row r="99" spans="1:6" s="1519" customFormat="1" ht="14.25" customHeight="1" thickBot="1">
      <c r="A99" s="1531" t="s">
        <v>1539</v>
      </c>
      <c r="B99" s="1525" t="s">
        <v>1432</v>
      </c>
      <c r="C99" s="1525">
        <v>11190</v>
      </c>
      <c r="D99" s="1525">
        <v>11130</v>
      </c>
      <c r="E99" s="1525"/>
      <c r="F99" s="1539"/>
    </row>
    <row r="100" spans="1:6" s="1519" customFormat="1" ht="14.25" customHeight="1" thickBot="1">
      <c r="A100" s="1531" t="s">
        <v>1539</v>
      </c>
      <c r="B100" s="1525" t="s">
        <v>1439</v>
      </c>
      <c r="C100" s="1525">
        <v>14280</v>
      </c>
      <c r="D100" s="1525">
        <v>14180</v>
      </c>
      <c r="E100" s="1525"/>
      <c r="F100" s="1539"/>
    </row>
    <row r="101" spans="1:6" s="1519" customFormat="1" ht="14.25" customHeight="1" thickBot="1">
      <c r="A101" s="1531" t="s">
        <v>1539</v>
      </c>
      <c r="B101" s="1525" t="s">
        <v>1446</v>
      </c>
      <c r="C101" s="1525">
        <v>12960</v>
      </c>
      <c r="D101" s="1525">
        <v>12890</v>
      </c>
      <c r="E101" s="1525"/>
      <c r="F101" s="1539"/>
    </row>
    <row r="102" spans="1:6" s="1519" customFormat="1" ht="14.25" customHeight="1" thickBot="1">
      <c r="A102" s="1531" t="s">
        <v>1539</v>
      </c>
      <c r="B102" s="1525" t="s">
        <v>1453</v>
      </c>
      <c r="C102" s="1525"/>
      <c r="D102" s="1525"/>
      <c r="E102" s="1525"/>
      <c r="F102" s="1539">
        <v>3100</v>
      </c>
    </row>
    <row r="103" spans="1:6" s="1519" customFormat="1" ht="14.25" customHeight="1" thickBot="1">
      <c r="A103" s="1531" t="s">
        <v>1539</v>
      </c>
      <c r="B103" s="1525" t="s">
        <v>1460</v>
      </c>
      <c r="C103" s="1525"/>
      <c r="D103" s="1525"/>
      <c r="E103" s="1525"/>
      <c r="F103" s="1539">
        <v>2320</v>
      </c>
    </row>
    <row r="104" spans="1:6" s="1519" customFormat="1" ht="14.25" customHeight="1" thickBot="1">
      <c r="A104" s="1531" t="s">
        <v>1539</v>
      </c>
      <c r="B104" s="1525" t="s">
        <v>1465</v>
      </c>
      <c r="C104" s="1525"/>
      <c r="D104" s="1525"/>
      <c r="E104" s="1525"/>
      <c r="F104" s="1539">
        <v>2320</v>
      </c>
    </row>
    <row r="105" spans="1:6" s="1519" customFormat="1" ht="14.25" customHeight="1" thickBot="1">
      <c r="A105" s="1531" t="s">
        <v>1539</v>
      </c>
      <c r="B105" s="1525" t="s">
        <v>1469</v>
      </c>
      <c r="C105" s="1525"/>
      <c r="D105" s="1525"/>
      <c r="E105" s="1525"/>
      <c r="F105" s="1539">
        <v>2320</v>
      </c>
    </row>
    <row r="106" spans="1:6" s="1519" customFormat="1" ht="14.25" customHeight="1" thickBot="1">
      <c r="A106" s="1531" t="s">
        <v>1539</v>
      </c>
      <c r="B106" s="1525" t="s">
        <v>1474</v>
      </c>
      <c r="C106" s="1525"/>
      <c r="D106" s="1525"/>
      <c r="E106" s="1525"/>
      <c r="F106" s="1539">
        <v>2320</v>
      </c>
    </row>
    <row r="107" spans="1:6" s="1519" customFormat="1" ht="14.25" customHeight="1" thickBot="1">
      <c r="A107" s="1531" t="s">
        <v>1539</v>
      </c>
      <c r="B107" s="1525" t="s">
        <v>1479</v>
      </c>
      <c r="C107" s="1525"/>
      <c r="D107" s="1525"/>
      <c r="E107" s="1525"/>
      <c r="F107" s="1539">
        <v>2280</v>
      </c>
    </row>
    <row r="108" spans="1:6" s="1519" customFormat="1" ht="14.25" customHeight="1" thickBot="1">
      <c r="A108" s="1531" t="s">
        <v>1539</v>
      </c>
      <c r="B108" s="1525" t="s">
        <v>1484</v>
      </c>
      <c r="C108" s="1525"/>
      <c r="D108" s="1525"/>
      <c r="E108" s="1525"/>
      <c r="F108" s="1539">
        <v>2280</v>
      </c>
    </row>
    <row r="109" spans="1:6" s="1519" customFormat="1" ht="14.25" customHeight="1" thickBot="1">
      <c r="A109" s="1531" t="s">
        <v>1539</v>
      </c>
      <c r="B109" s="1537" t="s">
        <v>1489</v>
      </c>
      <c r="C109" s="1537"/>
      <c r="D109" s="1537"/>
      <c r="E109" s="1537"/>
      <c r="F109" s="1542">
        <v>2280</v>
      </c>
    </row>
    <row r="110" spans="1:6" s="1519" customFormat="1" ht="14.25" customHeight="1" thickBot="1">
      <c r="A110" s="1531" t="s">
        <v>201</v>
      </c>
      <c r="B110" s="1532" t="s">
        <v>1541</v>
      </c>
      <c r="C110" s="1532">
        <v>10520</v>
      </c>
      <c r="D110" s="1532">
        <v>10490</v>
      </c>
      <c r="E110" s="1532">
        <v>10760</v>
      </c>
      <c r="F110" s="1533">
        <v>2160</v>
      </c>
    </row>
    <row r="111" spans="1:6" s="1519" customFormat="1" ht="14.25" customHeight="1" thickBot="1">
      <c r="A111" s="1531" t="s">
        <v>201</v>
      </c>
      <c r="B111" s="1525" t="s">
        <v>1208</v>
      </c>
      <c r="C111" s="1525">
        <v>10090</v>
      </c>
      <c r="D111" s="1525">
        <v>10060</v>
      </c>
      <c r="E111" s="1525">
        <v>10300</v>
      </c>
      <c r="F111" s="1539">
        <v>2010</v>
      </c>
    </row>
    <row r="112" spans="1:6" s="1519" customFormat="1" ht="14.25" customHeight="1" thickBot="1">
      <c r="A112" s="1531" t="s">
        <v>201</v>
      </c>
      <c r="B112" s="1525" t="s">
        <v>1221</v>
      </c>
      <c r="C112" s="1525">
        <v>9910</v>
      </c>
      <c r="D112" s="1525">
        <v>9850</v>
      </c>
      <c r="E112" s="1525">
        <v>9960</v>
      </c>
      <c r="F112" s="1539">
        <v>2090</v>
      </c>
    </row>
    <row r="113" spans="1:6" s="1519" customFormat="1" ht="14.25" customHeight="1" thickBot="1">
      <c r="A113" s="1531" t="s">
        <v>201</v>
      </c>
      <c r="B113" s="1525" t="s">
        <v>1234</v>
      </c>
      <c r="C113" s="1525">
        <v>11430</v>
      </c>
      <c r="D113" s="1525">
        <v>11400</v>
      </c>
      <c r="E113" s="1525">
        <v>11710</v>
      </c>
      <c r="F113" s="1539">
        <v>2050</v>
      </c>
    </row>
    <row r="114" spans="1:6" s="1519" customFormat="1" ht="14.25" customHeight="1" thickBot="1">
      <c r="A114" s="1531" t="s">
        <v>201</v>
      </c>
      <c r="B114" s="1525" t="s">
        <v>1246</v>
      </c>
      <c r="C114" s="1525">
        <v>11390</v>
      </c>
      <c r="D114" s="1525">
        <v>11350</v>
      </c>
      <c r="E114" s="1525">
        <v>11640</v>
      </c>
      <c r="F114" s="1539">
        <v>1620</v>
      </c>
    </row>
    <row r="115" spans="1:6" s="1519" customFormat="1" ht="14.25" customHeight="1" thickBot="1">
      <c r="A115" s="1531" t="s">
        <v>201</v>
      </c>
      <c r="B115" s="1525" t="s">
        <v>1257</v>
      </c>
      <c r="C115" s="1525">
        <v>9930</v>
      </c>
      <c r="D115" s="1525">
        <v>9900</v>
      </c>
      <c r="E115" s="1525">
        <v>10160</v>
      </c>
      <c r="F115" s="1539">
        <v>1580</v>
      </c>
    </row>
    <row r="116" spans="1:6" s="1519" customFormat="1" ht="14.25" customHeight="1" thickBot="1">
      <c r="A116" s="1531" t="s">
        <v>201</v>
      </c>
      <c r="B116" s="1525" t="s">
        <v>1268</v>
      </c>
      <c r="C116" s="1525">
        <v>9150</v>
      </c>
      <c r="D116" s="1525">
        <v>9120</v>
      </c>
      <c r="E116" s="1525">
        <v>9380</v>
      </c>
      <c r="F116" s="1539">
        <v>1750</v>
      </c>
    </row>
    <row r="117" spans="1:6" s="1519" customFormat="1" ht="14.25" customHeight="1" thickBot="1">
      <c r="A117" s="1531" t="s">
        <v>201</v>
      </c>
      <c r="B117" s="1525" t="s">
        <v>1279</v>
      </c>
      <c r="C117" s="1525">
        <v>10680</v>
      </c>
      <c r="D117" s="1525">
        <v>10650</v>
      </c>
      <c r="E117" s="1525">
        <v>10970</v>
      </c>
      <c r="F117" s="1539">
        <v>1730</v>
      </c>
    </row>
    <row r="118" spans="1:6" s="1519" customFormat="1" ht="14.25" customHeight="1" thickBot="1">
      <c r="A118" s="1531" t="s">
        <v>201</v>
      </c>
      <c r="B118" s="1525" t="s">
        <v>1291</v>
      </c>
      <c r="C118" s="1525">
        <v>10080</v>
      </c>
      <c r="D118" s="1525">
        <v>10050</v>
      </c>
      <c r="E118" s="1525">
        <v>10350</v>
      </c>
      <c r="F118" s="1539">
        <v>1920</v>
      </c>
    </row>
    <row r="119" spans="1:6" s="1519" customFormat="1" ht="14.25" customHeight="1" thickBot="1">
      <c r="A119" s="1531" t="s">
        <v>201</v>
      </c>
      <c r="B119" s="1525" t="s">
        <v>1301</v>
      </c>
      <c r="C119" s="1525">
        <v>9450</v>
      </c>
      <c r="D119" s="1525">
        <v>9410</v>
      </c>
      <c r="E119" s="1525">
        <v>9680</v>
      </c>
      <c r="F119" s="1539">
        <v>1880</v>
      </c>
    </row>
    <row r="120" spans="1:6" s="1519" customFormat="1" ht="14.25" customHeight="1" thickBot="1">
      <c r="A120" s="1531" t="s">
        <v>201</v>
      </c>
      <c r="B120" s="1525" t="s">
        <v>1311</v>
      </c>
      <c r="C120" s="1525">
        <v>8730</v>
      </c>
      <c r="D120" s="1525">
        <v>8700</v>
      </c>
      <c r="E120" s="1525">
        <v>8950</v>
      </c>
      <c r="F120" s="1539">
        <v>1830</v>
      </c>
    </row>
    <row r="121" spans="1:6" s="1519" customFormat="1" ht="14.25" customHeight="1" thickBot="1">
      <c r="A121" s="1531" t="s">
        <v>201</v>
      </c>
      <c r="B121" s="1525" t="s">
        <v>1321</v>
      </c>
      <c r="C121" s="1525">
        <v>10070</v>
      </c>
      <c r="D121" s="1525">
        <v>10040</v>
      </c>
      <c r="E121" s="1525">
        <v>10270</v>
      </c>
      <c r="F121" s="1539">
        <v>1960</v>
      </c>
    </row>
    <row r="122" spans="1:6" s="1519" customFormat="1" ht="14.25" customHeight="1" thickBot="1">
      <c r="A122" s="1531" t="s">
        <v>201</v>
      </c>
      <c r="B122" s="1525" t="s">
        <v>1331</v>
      </c>
      <c r="C122" s="1525">
        <v>10500</v>
      </c>
      <c r="D122" s="1525">
        <v>10470</v>
      </c>
      <c r="E122" s="1525">
        <v>10780</v>
      </c>
      <c r="F122" s="1539">
        <v>2180</v>
      </c>
    </row>
    <row r="123" spans="1:6" s="1519" customFormat="1" ht="14.25" customHeight="1" thickBot="1">
      <c r="A123" s="1531" t="s">
        <v>201</v>
      </c>
      <c r="B123" s="1525" t="s">
        <v>1342</v>
      </c>
      <c r="C123" s="1525">
        <v>10390</v>
      </c>
      <c r="D123" s="1525">
        <v>10360</v>
      </c>
      <c r="E123" s="1525">
        <v>10660</v>
      </c>
      <c r="F123" s="1539">
        <v>2040</v>
      </c>
    </row>
    <row r="124" spans="1:6" s="1519" customFormat="1" ht="14.25" customHeight="1" thickBot="1">
      <c r="A124" s="1531" t="s">
        <v>201</v>
      </c>
      <c r="B124" s="1525" t="s">
        <v>1353</v>
      </c>
      <c r="C124" s="1525">
        <v>10390</v>
      </c>
      <c r="D124" s="1525">
        <v>10360</v>
      </c>
      <c r="E124" s="1525">
        <v>10680</v>
      </c>
      <c r="F124" s="1543"/>
    </row>
    <row r="125" spans="1:6" s="1519" customFormat="1" ht="14.25" customHeight="1" thickBot="1">
      <c r="A125" s="1531" t="s">
        <v>201</v>
      </c>
      <c r="B125" s="1525" t="s">
        <v>1363</v>
      </c>
      <c r="C125" s="1525">
        <v>10440</v>
      </c>
      <c r="D125" s="1525">
        <v>10410</v>
      </c>
      <c r="E125" s="1525">
        <v>10710</v>
      </c>
      <c r="F125" s="1543"/>
    </row>
    <row r="126" spans="1:6" s="1519" customFormat="1" ht="14.25" customHeight="1" thickBot="1">
      <c r="A126" s="1531" t="s">
        <v>201</v>
      </c>
      <c r="B126" s="1525" t="s">
        <v>1373</v>
      </c>
      <c r="C126" s="1525">
        <v>10780</v>
      </c>
      <c r="D126" s="1525">
        <v>10750</v>
      </c>
      <c r="E126" s="1525">
        <v>11080</v>
      </c>
      <c r="F126" s="1543"/>
    </row>
    <row r="127" spans="1:6" s="1519" customFormat="1" ht="14.25" customHeight="1" thickBot="1">
      <c r="A127" s="1531" t="s">
        <v>201</v>
      </c>
      <c r="B127" s="1525" t="s">
        <v>1383</v>
      </c>
      <c r="C127" s="1525">
        <v>10100</v>
      </c>
      <c r="D127" s="1525">
        <v>10070</v>
      </c>
      <c r="E127" s="1525">
        <v>10350</v>
      </c>
      <c r="F127" s="1543"/>
    </row>
    <row r="128" spans="1:6" s="1519" customFormat="1" ht="14.25" customHeight="1" thickBot="1">
      <c r="A128" s="1531" t="s">
        <v>201</v>
      </c>
      <c r="B128" s="1525" t="s">
        <v>1393</v>
      </c>
      <c r="C128" s="1525">
        <v>9200</v>
      </c>
      <c r="D128" s="1525">
        <v>9160</v>
      </c>
      <c r="E128" s="1525">
        <v>9660</v>
      </c>
      <c r="F128" s="1543"/>
    </row>
    <row r="129" spans="1:6" s="1519" customFormat="1" ht="14.25" customHeight="1" thickBot="1">
      <c r="A129" s="1531" t="s">
        <v>201</v>
      </c>
      <c r="B129" s="1525" t="s">
        <v>1402</v>
      </c>
      <c r="C129" s="1525">
        <v>10340</v>
      </c>
      <c r="D129" s="1525">
        <v>10310</v>
      </c>
      <c r="E129" s="1525">
        <v>10580</v>
      </c>
      <c r="F129" s="1543"/>
    </row>
    <row r="130" spans="1:6" s="1519" customFormat="1" ht="14.25" customHeight="1" thickBot="1">
      <c r="A130" s="1531" t="s">
        <v>201</v>
      </c>
      <c r="B130" s="1525" t="s">
        <v>1411</v>
      </c>
      <c r="C130" s="1525">
        <v>9680</v>
      </c>
      <c r="D130" s="1525">
        <v>9660</v>
      </c>
      <c r="E130" s="1525">
        <v>9950</v>
      </c>
      <c r="F130" s="1543"/>
    </row>
    <row r="131" spans="1:6" s="1519" customFormat="1" ht="14.25" customHeight="1" thickBot="1">
      <c r="A131" s="1531" t="s">
        <v>201</v>
      </c>
      <c r="B131" s="1525" t="s">
        <v>1419</v>
      </c>
      <c r="C131" s="1525">
        <v>9540</v>
      </c>
      <c r="D131" s="1525">
        <v>9510</v>
      </c>
      <c r="E131" s="1525">
        <v>9790</v>
      </c>
      <c r="F131" s="1543"/>
    </row>
    <row r="132" spans="1:6" s="1519" customFormat="1" ht="14.25" customHeight="1" thickBot="1">
      <c r="A132" s="1531" t="s">
        <v>201</v>
      </c>
      <c r="B132" s="1525" t="s">
        <v>1426</v>
      </c>
      <c r="C132" s="1525">
        <v>9320</v>
      </c>
      <c r="D132" s="1525">
        <v>9290</v>
      </c>
      <c r="E132" s="1525">
        <v>9570</v>
      </c>
      <c r="F132" s="1543"/>
    </row>
    <row r="133" spans="1:6" s="1519" customFormat="1" ht="14.25" customHeight="1" thickBot="1">
      <c r="A133" s="1531" t="s">
        <v>201</v>
      </c>
      <c r="B133" s="1525" t="s">
        <v>1433</v>
      </c>
      <c r="C133" s="1525">
        <v>10310</v>
      </c>
      <c r="D133" s="1525">
        <v>10280</v>
      </c>
      <c r="E133" s="1525">
        <v>10530</v>
      </c>
      <c r="F133" s="1543"/>
    </row>
    <row r="134" spans="1:6" s="1519" customFormat="1" ht="14.25" customHeight="1" thickBot="1">
      <c r="A134" s="1531" t="s">
        <v>201</v>
      </c>
      <c r="B134" s="1525" t="s">
        <v>1440</v>
      </c>
      <c r="C134" s="1525">
        <v>10370</v>
      </c>
      <c r="D134" s="1525">
        <v>10310</v>
      </c>
      <c r="E134" s="1525">
        <v>10240</v>
      </c>
      <c r="F134" s="1539">
        <v>2060</v>
      </c>
    </row>
    <row r="135" spans="1:6" s="1519" customFormat="1" ht="14.25" customHeight="1" thickBot="1">
      <c r="A135" s="1531" t="s">
        <v>201</v>
      </c>
      <c r="B135" s="1525" t="s">
        <v>1447</v>
      </c>
      <c r="C135" s="1525">
        <v>9300</v>
      </c>
      <c r="D135" s="1525">
        <v>9270</v>
      </c>
      <c r="E135" s="1525">
        <v>9350</v>
      </c>
      <c r="F135" s="1543"/>
    </row>
    <row r="136" spans="1:6" s="1519" customFormat="1" ht="14.25" customHeight="1" thickBot="1">
      <c r="A136" s="1531" t="s">
        <v>201</v>
      </c>
      <c r="B136" s="1525" t="s">
        <v>1454</v>
      </c>
      <c r="C136" s="1525">
        <v>10160</v>
      </c>
      <c r="D136" s="1525">
        <v>10110</v>
      </c>
      <c r="E136" s="1525">
        <v>10080</v>
      </c>
      <c r="F136" s="1543"/>
    </row>
    <row r="137" spans="1:6" s="1519" customFormat="1" ht="14.25" customHeight="1" thickBot="1">
      <c r="A137" s="1531" t="s">
        <v>201</v>
      </c>
      <c r="B137" s="1525" t="s">
        <v>1461</v>
      </c>
      <c r="C137" s="1525">
        <v>9200</v>
      </c>
      <c r="D137" s="1525">
        <v>9170</v>
      </c>
      <c r="E137" s="1525">
        <v>9450</v>
      </c>
      <c r="F137" s="1543"/>
    </row>
    <row r="138" spans="1:6" s="1519" customFormat="1" ht="14.25" customHeight="1" thickBot="1">
      <c r="A138" s="1531" t="s">
        <v>201</v>
      </c>
      <c r="B138" s="1525" t="s">
        <v>1466</v>
      </c>
      <c r="C138" s="1525">
        <v>9690</v>
      </c>
      <c r="D138" s="1525">
        <v>9660</v>
      </c>
      <c r="E138" s="1525">
        <v>9840</v>
      </c>
      <c r="F138" s="1543"/>
    </row>
    <row r="139" spans="1:6" s="1519" customFormat="1" ht="14.25" customHeight="1" thickBot="1">
      <c r="A139" s="1531" t="s">
        <v>201</v>
      </c>
      <c r="B139" s="1525" t="s">
        <v>1470</v>
      </c>
      <c r="C139" s="1525">
        <v>10290</v>
      </c>
      <c r="D139" s="1525">
        <v>10260</v>
      </c>
      <c r="E139" s="1525">
        <v>10550</v>
      </c>
      <c r="F139" s="1539">
        <v>1700</v>
      </c>
    </row>
    <row r="140" spans="1:6" s="1519" customFormat="1" ht="14.25" customHeight="1" thickBot="1">
      <c r="A140" s="1531" t="s">
        <v>201</v>
      </c>
      <c r="B140" s="1525" t="s">
        <v>1475</v>
      </c>
      <c r="C140" s="1525">
        <v>9740</v>
      </c>
      <c r="D140" s="1525">
        <v>9710</v>
      </c>
      <c r="E140" s="1525">
        <v>10000</v>
      </c>
      <c r="F140" s="1539">
        <v>2000</v>
      </c>
    </row>
    <row r="141" spans="1:6" s="1519" customFormat="1" ht="14.25" customHeight="1" thickBot="1">
      <c r="A141" s="1531" t="s">
        <v>201</v>
      </c>
      <c r="B141" s="1525" t="s">
        <v>1480</v>
      </c>
      <c r="C141" s="1525">
        <v>9810</v>
      </c>
      <c r="D141" s="1525">
        <v>9770</v>
      </c>
      <c r="E141" s="1525">
        <v>10060</v>
      </c>
      <c r="F141" s="1543"/>
    </row>
    <row r="142" spans="1:6" s="1519" customFormat="1" ht="14.25" customHeight="1" thickBot="1">
      <c r="A142" s="1531" t="s">
        <v>201</v>
      </c>
      <c r="B142" s="1525" t="s">
        <v>1485</v>
      </c>
      <c r="C142" s="1525">
        <v>9300</v>
      </c>
      <c r="D142" s="1525">
        <v>9270</v>
      </c>
      <c r="E142" s="1525">
        <v>9530</v>
      </c>
      <c r="F142" s="1543"/>
    </row>
    <row r="143" spans="1:6" s="1519" customFormat="1" ht="14.25" customHeight="1" thickBot="1">
      <c r="A143" s="1531" t="s">
        <v>201</v>
      </c>
      <c r="B143" s="1525" t="s">
        <v>1490</v>
      </c>
      <c r="C143" s="1525">
        <v>10080</v>
      </c>
      <c r="D143" s="1525">
        <v>10050</v>
      </c>
      <c r="E143" s="1525">
        <v>10340</v>
      </c>
      <c r="F143" s="1543"/>
    </row>
    <row r="144" spans="1:6" s="1519" customFormat="1" ht="14.25" customHeight="1" thickBot="1">
      <c r="A144" s="1531" t="s">
        <v>201</v>
      </c>
      <c r="B144" s="1525" t="s">
        <v>1494</v>
      </c>
      <c r="C144" s="1525">
        <v>9820</v>
      </c>
      <c r="D144" s="1525">
        <v>9750</v>
      </c>
      <c r="E144" s="1525">
        <v>9900</v>
      </c>
      <c r="F144" s="1543"/>
    </row>
    <row r="145" spans="1:6" s="1519" customFormat="1" ht="14.25" customHeight="1" thickBot="1">
      <c r="A145" s="1531" t="s">
        <v>201</v>
      </c>
      <c r="B145" s="1525" t="s">
        <v>1498</v>
      </c>
      <c r="C145" s="1525"/>
      <c r="D145" s="1525"/>
      <c r="E145" s="1525"/>
      <c r="F145" s="1539">
        <v>1740</v>
      </c>
    </row>
    <row r="146" spans="1:6" s="1519" customFormat="1" ht="14.25" customHeight="1" thickBot="1">
      <c r="A146" s="1531" t="s">
        <v>201</v>
      </c>
      <c r="B146" s="1525" t="s">
        <v>1502</v>
      </c>
      <c r="C146" s="1525"/>
      <c r="D146" s="1525"/>
      <c r="E146" s="1525"/>
      <c r="F146" s="1539">
        <v>1740</v>
      </c>
    </row>
    <row r="147" spans="1:6" s="1519" customFormat="1" ht="14.25" customHeight="1" thickBot="1">
      <c r="A147" s="1531" t="s">
        <v>201</v>
      </c>
      <c r="B147" s="1525" t="s">
        <v>1506</v>
      </c>
      <c r="C147" s="1525"/>
      <c r="D147" s="1525"/>
      <c r="E147" s="1525"/>
      <c r="F147" s="1539">
        <v>1740</v>
      </c>
    </row>
    <row r="148" spans="1:6" s="1519" customFormat="1" ht="14.25" customHeight="1" thickBot="1">
      <c r="A148" s="1531" t="s">
        <v>201</v>
      </c>
      <c r="B148" s="1525" t="s">
        <v>1510</v>
      </c>
      <c r="C148" s="1525"/>
      <c r="D148" s="1525"/>
      <c r="E148" s="1525"/>
      <c r="F148" s="1539">
        <v>1740</v>
      </c>
    </row>
    <row r="149" spans="1:6" s="1519" customFormat="1" ht="14.25" customHeight="1" thickBot="1">
      <c r="A149" s="1531" t="s">
        <v>201</v>
      </c>
      <c r="B149" s="1525" t="s">
        <v>1514</v>
      </c>
      <c r="C149" s="1525"/>
      <c r="D149" s="1525"/>
      <c r="E149" s="1525"/>
      <c r="F149" s="1539">
        <v>1740</v>
      </c>
    </row>
    <row r="150" spans="1:6" s="1519" customFormat="1" ht="14.25" customHeight="1" thickBot="1">
      <c r="A150" s="1531" t="s">
        <v>201</v>
      </c>
      <c r="B150" s="1525" t="s">
        <v>1517</v>
      </c>
      <c r="C150" s="1525"/>
      <c r="D150" s="1525"/>
      <c r="E150" s="1525"/>
      <c r="F150" s="1539">
        <v>1610</v>
      </c>
    </row>
    <row r="151" spans="1:6" s="1519" customFormat="1" ht="14.25" customHeight="1" thickBot="1">
      <c r="A151" s="1531" t="s">
        <v>201</v>
      </c>
      <c r="B151" s="1525" t="s">
        <v>1520</v>
      </c>
      <c r="C151" s="1525"/>
      <c r="D151" s="1525"/>
      <c r="E151" s="1525"/>
      <c r="F151" s="1539">
        <v>1610</v>
      </c>
    </row>
    <row r="152" spans="1:6" s="1519" customFormat="1" ht="14.25" customHeight="1" thickBot="1">
      <c r="A152" s="1531" t="s">
        <v>201</v>
      </c>
      <c r="B152" s="1525" t="s">
        <v>1523</v>
      </c>
      <c r="C152" s="1525"/>
      <c r="D152" s="1525"/>
      <c r="E152" s="1525"/>
      <c r="F152" s="1539">
        <v>1610</v>
      </c>
    </row>
    <row r="153" spans="1:6" s="1519" customFormat="1" ht="14.25" customHeight="1" thickBot="1">
      <c r="A153" s="1531" t="s">
        <v>201</v>
      </c>
      <c r="B153" s="1525" t="s">
        <v>1526</v>
      </c>
      <c r="C153" s="1525"/>
      <c r="D153" s="1525"/>
      <c r="E153" s="1525"/>
      <c r="F153" s="1539">
        <v>1610</v>
      </c>
    </row>
    <row r="154" spans="1:6" s="1519" customFormat="1" ht="14.25" customHeight="1" thickBot="1">
      <c r="A154" s="1531" t="s">
        <v>201</v>
      </c>
      <c r="B154" s="1525" t="s">
        <v>1529</v>
      </c>
      <c r="C154" s="1525"/>
      <c r="D154" s="1525"/>
      <c r="E154" s="1525"/>
      <c r="F154" s="1539">
        <v>1610</v>
      </c>
    </row>
    <row r="155" spans="1:6" s="1519" customFormat="1" ht="14.25" customHeight="1" thickBot="1">
      <c r="A155" s="1531" t="s">
        <v>201</v>
      </c>
      <c r="B155" s="1525" t="s">
        <v>1532</v>
      </c>
      <c r="C155" s="1525"/>
      <c r="D155" s="1525"/>
      <c r="E155" s="1525"/>
      <c r="F155" s="1539">
        <v>1800</v>
      </c>
    </row>
    <row r="156" spans="1:6" s="1519" customFormat="1" ht="14.25" customHeight="1" thickBot="1">
      <c r="A156" s="1531" t="s">
        <v>201</v>
      </c>
      <c r="B156" s="1525" t="s">
        <v>1534</v>
      </c>
      <c r="C156" s="1525"/>
      <c r="D156" s="1525"/>
      <c r="E156" s="1525"/>
      <c r="F156" s="1539">
        <v>1910</v>
      </c>
    </row>
    <row r="157" spans="1:6" s="1519" customFormat="1" ht="14.25" customHeight="1" thickBot="1">
      <c r="A157" s="1531" t="s">
        <v>201</v>
      </c>
      <c r="B157" s="1537" t="s">
        <v>1537</v>
      </c>
      <c r="C157" s="1537"/>
      <c r="D157" s="1537"/>
      <c r="E157" s="1537"/>
      <c r="F157" s="1542">
        <v>1500</v>
      </c>
    </row>
    <row r="158" spans="1:6" s="1519" customFormat="1" ht="14.25" customHeight="1" thickBot="1">
      <c r="A158" s="1531" t="s">
        <v>1542</v>
      </c>
      <c r="B158" s="1532" t="s">
        <v>1543</v>
      </c>
      <c r="C158" s="1532">
        <v>8170</v>
      </c>
      <c r="D158" s="1532">
        <v>8140</v>
      </c>
      <c r="E158" s="1532">
        <v>8590</v>
      </c>
      <c r="F158" s="1533">
        <v>1450</v>
      </c>
    </row>
    <row r="159" spans="1:6" s="1519" customFormat="1" ht="14.25" customHeight="1" thickBot="1">
      <c r="A159" s="1531" t="s">
        <v>1542</v>
      </c>
      <c r="B159" s="1525" t="s">
        <v>1209</v>
      </c>
      <c r="C159" s="1525">
        <v>7410</v>
      </c>
      <c r="D159" s="1525">
        <v>7370</v>
      </c>
      <c r="E159" s="1525">
        <v>8030</v>
      </c>
      <c r="F159" s="1539">
        <v>1510</v>
      </c>
    </row>
    <row r="160" spans="1:6" s="1519" customFormat="1" ht="14.25" customHeight="1" thickBot="1">
      <c r="A160" s="1531" t="s">
        <v>1542</v>
      </c>
      <c r="B160" s="1525" t="s">
        <v>1222</v>
      </c>
      <c r="C160" s="1525">
        <v>7240</v>
      </c>
      <c r="D160" s="1525">
        <v>7210</v>
      </c>
      <c r="E160" s="1525">
        <v>7860</v>
      </c>
      <c r="F160" s="1539">
        <v>1370</v>
      </c>
    </row>
    <row r="161" spans="1:6" s="1519" customFormat="1" ht="14.25" customHeight="1" thickBot="1">
      <c r="A161" s="1531" t="s">
        <v>1542</v>
      </c>
      <c r="B161" s="1525" t="s">
        <v>1235</v>
      </c>
      <c r="C161" s="1525">
        <v>7720</v>
      </c>
      <c r="D161" s="1525">
        <v>7690</v>
      </c>
      <c r="E161" s="1525">
        <v>8200</v>
      </c>
      <c r="F161" s="1539">
        <v>1190</v>
      </c>
    </row>
    <row r="162" spans="1:6" s="1519" customFormat="1" ht="14.25" customHeight="1" thickBot="1">
      <c r="A162" s="1531" t="s">
        <v>1542</v>
      </c>
      <c r="B162" s="1525" t="s">
        <v>1247</v>
      </c>
      <c r="C162" s="1525">
        <v>6900</v>
      </c>
      <c r="D162" s="1525">
        <v>6870</v>
      </c>
      <c r="E162" s="1525">
        <v>7500</v>
      </c>
      <c r="F162" s="1539">
        <v>1390</v>
      </c>
    </row>
    <row r="163" spans="1:6" s="1519" customFormat="1" ht="14.25" customHeight="1" thickBot="1">
      <c r="A163" s="1531" t="s">
        <v>1542</v>
      </c>
      <c r="B163" s="1525" t="s">
        <v>1258</v>
      </c>
      <c r="C163" s="1525">
        <v>7120</v>
      </c>
      <c r="D163" s="1525">
        <v>7090</v>
      </c>
      <c r="E163" s="1525">
        <v>7690</v>
      </c>
      <c r="F163" s="1539">
        <v>1230</v>
      </c>
    </row>
    <row r="164" spans="1:6" s="1519" customFormat="1" ht="14.25" customHeight="1" thickBot="1">
      <c r="A164" s="1531" t="s">
        <v>1542</v>
      </c>
      <c r="B164" s="1525" t="s">
        <v>1269</v>
      </c>
      <c r="C164" s="1525">
        <v>6560</v>
      </c>
      <c r="D164" s="1525">
        <v>6530</v>
      </c>
      <c r="E164" s="1525">
        <v>7110</v>
      </c>
      <c r="F164" s="1539">
        <v>1340</v>
      </c>
    </row>
    <row r="165" spans="1:6" s="1519" customFormat="1" ht="14.25" customHeight="1" thickBot="1">
      <c r="A165" s="1531" t="s">
        <v>1542</v>
      </c>
      <c r="B165" s="1525" t="s">
        <v>1280</v>
      </c>
      <c r="C165" s="1525">
        <v>7450</v>
      </c>
      <c r="D165" s="1525">
        <v>7430</v>
      </c>
      <c r="E165" s="1525">
        <v>8110</v>
      </c>
      <c r="F165" s="1539">
        <v>1290</v>
      </c>
    </row>
    <row r="166" spans="1:6" s="1519" customFormat="1" ht="14.25" customHeight="1" thickBot="1">
      <c r="A166" s="1531" t="s">
        <v>1542</v>
      </c>
      <c r="B166" s="1525" t="s">
        <v>1292</v>
      </c>
      <c r="C166" s="1525">
        <v>7490</v>
      </c>
      <c r="D166" s="1525">
        <v>7460</v>
      </c>
      <c r="E166" s="1525">
        <v>8150</v>
      </c>
      <c r="F166" s="1539">
        <v>1350</v>
      </c>
    </row>
    <row r="167" spans="1:6" s="1519" customFormat="1" ht="14.25" customHeight="1" thickBot="1">
      <c r="A167" s="1531" t="s">
        <v>1542</v>
      </c>
      <c r="B167" s="1525" t="s">
        <v>1302</v>
      </c>
      <c r="C167" s="1525">
        <v>7540</v>
      </c>
      <c r="D167" s="1525">
        <v>7510</v>
      </c>
      <c r="E167" s="1525">
        <v>8030</v>
      </c>
      <c r="F167" s="1543"/>
    </row>
    <row r="168" spans="1:6" s="1519" customFormat="1" ht="14.25" customHeight="1" thickBot="1">
      <c r="A168" s="1531" t="s">
        <v>1542</v>
      </c>
      <c r="B168" s="1525" t="s">
        <v>1312</v>
      </c>
      <c r="C168" s="1525">
        <v>7210</v>
      </c>
      <c r="D168" s="1525">
        <v>7180</v>
      </c>
      <c r="E168" s="1525">
        <v>7830</v>
      </c>
      <c r="F168" s="1543"/>
    </row>
    <row r="169" spans="1:6" s="1519" customFormat="1" ht="14.25" customHeight="1" thickBot="1">
      <c r="A169" s="1531" t="s">
        <v>1542</v>
      </c>
      <c r="B169" s="1525" t="s">
        <v>1322</v>
      </c>
      <c r="C169" s="1525">
        <v>7040</v>
      </c>
      <c r="D169" s="1525">
        <v>7020</v>
      </c>
      <c r="E169" s="1525">
        <v>7670</v>
      </c>
      <c r="F169" s="1543"/>
    </row>
    <row r="170" spans="1:6" s="1519" customFormat="1" ht="14.25" customHeight="1" thickBot="1">
      <c r="A170" s="1531" t="s">
        <v>1542</v>
      </c>
      <c r="B170" s="1525" t="s">
        <v>1332</v>
      </c>
      <c r="C170" s="1525">
        <v>8040</v>
      </c>
      <c r="D170" s="1525">
        <v>7190</v>
      </c>
      <c r="E170" s="1525">
        <v>7850</v>
      </c>
      <c r="F170" s="1543"/>
    </row>
    <row r="171" spans="1:6" s="1519" customFormat="1" ht="14.25" customHeight="1" thickBot="1">
      <c r="A171" s="1531" t="s">
        <v>1542</v>
      </c>
      <c r="B171" s="1525" t="s">
        <v>1343</v>
      </c>
      <c r="C171" s="1525">
        <v>7860</v>
      </c>
      <c r="D171" s="1525">
        <v>7720</v>
      </c>
      <c r="E171" s="1525">
        <v>8150</v>
      </c>
      <c r="F171" s="1539">
        <v>1110</v>
      </c>
    </row>
    <row r="172" spans="1:6" s="1519" customFormat="1" ht="14.25" customHeight="1" thickBot="1">
      <c r="A172" s="1531" t="s">
        <v>1542</v>
      </c>
      <c r="B172" s="1525" t="s">
        <v>1354</v>
      </c>
      <c r="C172" s="1525">
        <v>7210</v>
      </c>
      <c r="D172" s="1525">
        <v>7170</v>
      </c>
      <c r="E172" s="1525">
        <v>7320</v>
      </c>
      <c r="F172" s="1543"/>
    </row>
    <row r="173" spans="1:6" s="1519" customFormat="1" ht="14.25" customHeight="1" thickBot="1">
      <c r="A173" s="1531" t="s">
        <v>1542</v>
      </c>
      <c r="B173" s="1525" t="s">
        <v>1364</v>
      </c>
      <c r="C173" s="1525">
        <v>6860</v>
      </c>
      <c r="D173" s="1525">
        <v>6810</v>
      </c>
      <c r="E173" s="1525">
        <v>7440</v>
      </c>
      <c r="F173" s="1543"/>
    </row>
    <row r="174" spans="1:6" s="1519" customFormat="1" ht="14.25" customHeight="1" thickBot="1">
      <c r="A174" s="1531" t="s">
        <v>1542</v>
      </c>
      <c r="B174" s="1525" t="s">
        <v>1374</v>
      </c>
      <c r="C174" s="1525">
        <v>7120</v>
      </c>
      <c r="D174" s="1525">
        <v>7090</v>
      </c>
      <c r="E174" s="1525">
        <v>7500</v>
      </c>
      <c r="F174" s="1539">
        <v>1490</v>
      </c>
    </row>
    <row r="175" spans="1:6" s="1519" customFormat="1" ht="14.25" customHeight="1" thickBot="1">
      <c r="A175" s="1531" t="s">
        <v>1542</v>
      </c>
      <c r="B175" s="1525" t="s">
        <v>1384</v>
      </c>
      <c r="C175" s="1525">
        <v>7850</v>
      </c>
      <c r="D175" s="1525">
        <v>7820</v>
      </c>
      <c r="E175" s="1525">
        <v>8120</v>
      </c>
      <c r="F175" s="1539">
        <v>1530</v>
      </c>
    </row>
    <row r="176" spans="1:6" s="1519" customFormat="1" ht="14.25" customHeight="1" thickBot="1">
      <c r="A176" s="1531" t="s">
        <v>1542</v>
      </c>
      <c r="B176" s="1525" t="s">
        <v>1394</v>
      </c>
      <c r="C176" s="1525">
        <v>7620</v>
      </c>
      <c r="D176" s="1525">
        <v>7570</v>
      </c>
      <c r="E176" s="1525">
        <v>7990</v>
      </c>
      <c r="F176" s="1539">
        <v>1480</v>
      </c>
    </row>
    <row r="177" spans="1:6" s="1519" customFormat="1" ht="14.25" customHeight="1" thickBot="1">
      <c r="A177" s="1531" t="s">
        <v>1542</v>
      </c>
      <c r="B177" s="1525" t="s">
        <v>1403</v>
      </c>
      <c r="C177" s="1525">
        <v>8590</v>
      </c>
      <c r="D177" s="1525">
        <v>8570</v>
      </c>
      <c r="E177" s="1525">
        <v>8740</v>
      </c>
      <c r="F177" s="1539">
        <v>1540</v>
      </c>
    </row>
    <row r="178" spans="1:6" s="1519" customFormat="1" ht="14.25" customHeight="1" thickBot="1">
      <c r="A178" s="1531" t="s">
        <v>1542</v>
      </c>
      <c r="B178" s="1525" t="s">
        <v>1412</v>
      </c>
      <c r="C178" s="1525">
        <v>7510</v>
      </c>
      <c r="D178" s="1525">
        <v>7470</v>
      </c>
      <c r="E178" s="1525">
        <v>8090</v>
      </c>
      <c r="F178" s="1539">
        <v>1320</v>
      </c>
    </row>
    <row r="179" spans="1:6" s="1519" customFormat="1" ht="14.25" customHeight="1" thickBot="1">
      <c r="A179" s="1531" t="s">
        <v>1542</v>
      </c>
      <c r="B179" s="1525" t="s">
        <v>1420</v>
      </c>
      <c r="C179" s="1525">
        <v>6380</v>
      </c>
      <c r="D179" s="1525">
        <v>6340</v>
      </c>
      <c r="E179" s="1525">
        <v>6810</v>
      </c>
      <c r="F179" s="1543"/>
    </row>
    <row r="180" spans="1:6" s="1519" customFormat="1" ht="14.25" customHeight="1" thickBot="1">
      <c r="A180" s="1531" t="s">
        <v>1542</v>
      </c>
      <c r="B180" s="1525" t="s">
        <v>1427</v>
      </c>
      <c r="C180" s="1525">
        <v>7830</v>
      </c>
      <c r="D180" s="1525">
        <v>7800</v>
      </c>
      <c r="E180" s="1525">
        <v>7780</v>
      </c>
      <c r="F180" s="1539">
        <v>1440</v>
      </c>
    </row>
    <row r="181" spans="1:6" s="1519" customFormat="1" ht="14.25" customHeight="1" thickBot="1">
      <c r="A181" s="1531" t="s">
        <v>1542</v>
      </c>
      <c r="B181" s="1525" t="s">
        <v>1434</v>
      </c>
      <c r="C181" s="1525">
        <v>7110</v>
      </c>
      <c r="D181" s="1525">
        <v>7080</v>
      </c>
      <c r="E181" s="1525">
        <v>7730</v>
      </c>
      <c r="F181" s="1539">
        <v>1350</v>
      </c>
    </row>
    <row r="182" spans="1:6" s="1519" customFormat="1" ht="14.25" customHeight="1" thickBot="1">
      <c r="A182" s="1531" t="s">
        <v>1542</v>
      </c>
      <c r="B182" s="1525" t="s">
        <v>1441</v>
      </c>
      <c r="C182" s="1525">
        <v>7310</v>
      </c>
      <c r="D182" s="1525">
        <v>7280</v>
      </c>
      <c r="E182" s="1525">
        <v>7950</v>
      </c>
      <c r="F182" s="1539">
        <v>1220</v>
      </c>
    </row>
    <row r="183" spans="1:6" s="1519" customFormat="1" ht="14.25" customHeight="1" thickBot="1">
      <c r="A183" s="1531" t="s">
        <v>1542</v>
      </c>
      <c r="B183" s="1525" t="s">
        <v>1448</v>
      </c>
      <c r="C183" s="1525">
        <v>7470</v>
      </c>
      <c r="D183" s="1525">
        <v>7440</v>
      </c>
      <c r="E183" s="1525">
        <v>7880</v>
      </c>
      <c r="F183" s="1543"/>
    </row>
    <row r="184" spans="1:6" s="1519" customFormat="1" ht="14.25" customHeight="1" thickBot="1">
      <c r="A184" s="1531" t="s">
        <v>1542</v>
      </c>
      <c r="B184" s="1525" t="s">
        <v>1455</v>
      </c>
      <c r="C184" s="1525">
        <v>6960</v>
      </c>
      <c r="D184" s="1525">
        <v>6930</v>
      </c>
      <c r="E184" s="1525">
        <v>7570</v>
      </c>
      <c r="F184" s="1543"/>
    </row>
    <row r="185" spans="1:6" s="1519" customFormat="1" ht="14.25" customHeight="1" thickBot="1">
      <c r="A185" s="1531" t="s">
        <v>1542</v>
      </c>
      <c r="B185" s="1525" t="s">
        <v>1462</v>
      </c>
      <c r="C185" s="1525">
        <v>7260</v>
      </c>
      <c r="D185" s="1525">
        <v>7230</v>
      </c>
      <c r="E185" s="1525">
        <v>7710</v>
      </c>
      <c r="F185" s="1539">
        <v>1360</v>
      </c>
    </row>
    <row r="186" spans="1:6" s="1519" customFormat="1" ht="14.25" customHeight="1" thickBot="1">
      <c r="A186" s="1531" t="s">
        <v>1542</v>
      </c>
      <c r="B186" s="1525" t="s">
        <v>1467</v>
      </c>
      <c r="C186" s="1525"/>
      <c r="D186" s="1525"/>
      <c r="E186" s="1525"/>
      <c r="F186" s="1539">
        <v>1560</v>
      </c>
    </row>
    <row r="187" spans="1:6" s="1519" customFormat="1" ht="14.25" customHeight="1" thickBot="1">
      <c r="A187" s="1531" t="s">
        <v>1542</v>
      </c>
      <c r="B187" s="1525" t="s">
        <v>1471</v>
      </c>
      <c r="C187" s="1525"/>
      <c r="D187" s="1525"/>
      <c r="E187" s="1525"/>
      <c r="F187" s="1539">
        <v>1560</v>
      </c>
    </row>
    <row r="188" spans="1:6" s="1519" customFormat="1" ht="14.25" customHeight="1" thickBot="1">
      <c r="A188" s="1531" t="s">
        <v>1542</v>
      </c>
      <c r="B188" s="1525" t="s">
        <v>1476</v>
      </c>
      <c r="C188" s="1525"/>
      <c r="D188" s="1525"/>
      <c r="E188" s="1525"/>
      <c r="F188" s="1539">
        <v>1560</v>
      </c>
    </row>
    <row r="189" spans="1:6" s="1519" customFormat="1" ht="14.25" customHeight="1" thickBot="1">
      <c r="A189" s="1531" t="s">
        <v>1542</v>
      </c>
      <c r="B189" s="1525" t="s">
        <v>1481</v>
      </c>
      <c r="C189" s="1525"/>
      <c r="D189" s="1525"/>
      <c r="E189" s="1525"/>
      <c r="F189" s="1539">
        <v>1320</v>
      </c>
    </row>
    <row r="190" spans="1:6" s="1519" customFormat="1" ht="14.25" customHeight="1" thickBot="1">
      <c r="A190" s="1531" t="s">
        <v>1542</v>
      </c>
      <c r="B190" s="1525" t="s">
        <v>1486</v>
      </c>
      <c r="C190" s="1525"/>
      <c r="D190" s="1525"/>
      <c r="E190" s="1525"/>
      <c r="F190" s="1539">
        <v>1320</v>
      </c>
    </row>
    <row r="191" spans="1:6" s="1519" customFormat="1" ht="14.25" customHeight="1" thickBot="1">
      <c r="A191" s="1531" t="s">
        <v>1542</v>
      </c>
      <c r="B191" s="1525" t="s">
        <v>1491</v>
      </c>
      <c r="C191" s="1525"/>
      <c r="D191" s="1525"/>
      <c r="E191" s="1525"/>
      <c r="F191" s="1539">
        <v>1320</v>
      </c>
    </row>
    <row r="192" spans="1:6" s="1519" customFormat="1" ht="14.25" customHeight="1" thickBot="1">
      <c r="A192" s="1531" t="s">
        <v>1542</v>
      </c>
      <c r="B192" s="1525" t="s">
        <v>1495</v>
      </c>
      <c r="C192" s="1525"/>
      <c r="D192" s="1525"/>
      <c r="E192" s="1525"/>
      <c r="F192" s="1539">
        <v>1100</v>
      </c>
    </row>
    <row r="193" spans="1:6" s="1519" customFormat="1" ht="14.25" customHeight="1" thickBot="1">
      <c r="A193" s="1531" t="s">
        <v>1542</v>
      </c>
      <c r="B193" s="1525" t="s">
        <v>1499</v>
      </c>
      <c r="C193" s="1525"/>
      <c r="D193" s="1525"/>
      <c r="E193" s="1525"/>
      <c r="F193" s="1539">
        <v>1100</v>
      </c>
    </row>
    <row r="194" spans="1:6" s="1519" customFormat="1" ht="14.25" customHeight="1" thickBot="1">
      <c r="A194" s="1531" t="s">
        <v>1542</v>
      </c>
      <c r="B194" s="1525" t="s">
        <v>1503</v>
      </c>
      <c r="C194" s="1525"/>
      <c r="D194" s="1525"/>
      <c r="E194" s="1525"/>
      <c r="F194" s="1539">
        <v>1080</v>
      </c>
    </row>
    <row r="195" spans="1:6" s="1519" customFormat="1" ht="14.25" customHeight="1" thickBot="1">
      <c r="A195" s="1531" t="s">
        <v>1542</v>
      </c>
      <c r="B195" s="1525" t="s">
        <v>1507</v>
      </c>
      <c r="C195" s="1525"/>
      <c r="D195" s="1525"/>
      <c r="E195" s="1525"/>
      <c r="F195" s="1539">
        <v>1270</v>
      </c>
    </row>
    <row r="196" spans="1:6" s="1519" customFormat="1" ht="14.25" customHeight="1" thickBot="1">
      <c r="A196" s="1531" t="s">
        <v>1542</v>
      </c>
      <c r="B196" s="1525" t="s">
        <v>1511</v>
      </c>
      <c r="C196" s="1525"/>
      <c r="D196" s="1525"/>
      <c r="E196" s="1525"/>
      <c r="F196" s="1539">
        <v>1150</v>
      </c>
    </row>
    <row r="197" spans="1:6" s="1519" customFormat="1" ht="14.25" customHeight="1" thickBot="1">
      <c r="A197" s="1531" t="s">
        <v>1542</v>
      </c>
      <c r="B197" s="1525" t="s">
        <v>1515</v>
      </c>
      <c r="C197" s="1525"/>
      <c r="D197" s="1525"/>
      <c r="E197" s="1525"/>
      <c r="F197" s="1539">
        <v>1330</v>
      </c>
    </row>
    <row r="198" spans="1:6" s="1519" customFormat="1" ht="14.25" customHeight="1" thickBot="1">
      <c r="A198" s="1531" t="s">
        <v>1542</v>
      </c>
      <c r="B198" s="1525" t="s">
        <v>1518</v>
      </c>
      <c r="C198" s="1525"/>
      <c r="D198" s="1525"/>
      <c r="E198" s="1525"/>
      <c r="F198" s="1539">
        <v>1170</v>
      </c>
    </row>
    <row r="199" spans="1:6" s="1519" customFormat="1" ht="14.25" customHeight="1" thickBot="1">
      <c r="A199" s="1531" t="s">
        <v>1542</v>
      </c>
      <c r="B199" s="1525" t="s">
        <v>1521</v>
      </c>
      <c r="C199" s="1525"/>
      <c r="D199" s="1525"/>
      <c r="E199" s="1525"/>
      <c r="F199" s="1539">
        <v>1120</v>
      </c>
    </row>
    <row r="200" spans="1:6" s="1519" customFormat="1" ht="14.25" customHeight="1" thickBot="1">
      <c r="A200" s="1531" t="s">
        <v>1542</v>
      </c>
      <c r="B200" s="1525" t="s">
        <v>1524</v>
      </c>
      <c r="C200" s="1525"/>
      <c r="D200" s="1525"/>
      <c r="E200" s="1525"/>
      <c r="F200" s="1539">
        <v>1120</v>
      </c>
    </row>
    <row r="201" spans="1:6" s="1519" customFormat="1" ht="14.25" customHeight="1" thickBot="1">
      <c r="A201" s="1531" t="s">
        <v>1542</v>
      </c>
      <c r="B201" s="1525" t="s">
        <v>1527</v>
      </c>
      <c r="C201" s="1525"/>
      <c r="D201" s="1525"/>
      <c r="E201" s="1525"/>
      <c r="F201" s="1539">
        <v>1540</v>
      </c>
    </row>
    <row r="202" spans="1:6" s="1519" customFormat="1" ht="14.25" customHeight="1" thickBot="1">
      <c r="A202" s="1531" t="s">
        <v>1542</v>
      </c>
      <c r="B202" s="1525" t="s">
        <v>1530</v>
      </c>
      <c r="C202" s="1525"/>
      <c r="D202" s="1525"/>
      <c r="E202" s="1525"/>
      <c r="F202" s="1539">
        <v>1310</v>
      </c>
    </row>
    <row r="203" spans="1:6" s="1519" customFormat="1" ht="14.25" customHeight="1" thickBot="1">
      <c r="A203" s="1531" t="s">
        <v>1542</v>
      </c>
      <c r="B203" s="1525" t="s">
        <v>1533</v>
      </c>
      <c r="C203" s="1525"/>
      <c r="D203" s="1525"/>
      <c r="E203" s="1525"/>
      <c r="F203" s="1539">
        <v>1310</v>
      </c>
    </row>
    <row r="204" spans="1:6" s="1519" customFormat="1" ht="14.25" customHeight="1" thickBot="1">
      <c r="A204" s="1531" t="s">
        <v>1542</v>
      </c>
      <c r="B204" s="1525" t="s">
        <v>1535</v>
      </c>
      <c r="C204" s="1525"/>
      <c r="D204" s="1525"/>
      <c r="E204" s="1525"/>
      <c r="F204" s="1539">
        <v>1080</v>
      </c>
    </row>
    <row r="205" spans="1:6" s="1519" customFormat="1" ht="14.25" customHeight="1" thickBot="1">
      <c r="A205" s="1531" t="s">
        <v>1542</v>
      </c>
      <c r="B205" s="1525" t="s">
        <v>1538</v>
      </c>
      <c r="C205" s="1525"/>
      <c r="D205" s="1525"/>
      <c r="E205" s="1525"/>
      <c r="F205" s="1539">
        <v>1080</v>
      </c>
    </row>
    <row r="206" spans="1:6" s="1519" customFormat="1" ht="14.25" customHeight="1" thickBot="1">
      <c r="A206" s="1531" t="s">
        <v>1544</v>
      </c>
      <c r="B206" s="1532" t="s">
        <v>1545</v>
      </c>
      <c r="C206" s="1532">
        <v>5450</v>
      </c>
      <c r="D206" s="1532">
        <v>5430</v>
      </c>
      <c r="E206" s="1532">
        <v>5700</v>
      </c>
      <c r="F206" s="1533">
        <v>1020</v>
      </c>
    </row>
    <row r="207" spans="1:6" s="1519" customFormat="1" ht="14.25" customHeight="1" thickBot="1">
      <c r="A207" s="1531" t="s">
        <v>1544</v>
      </c>
      <c r="B207" s="1525" t="s">
        <v>1210</v>
      </c>
      <c r="C207" s="1525">
        <v>5860</v>
      </c>
      <c r="D207" s="1525">
        <v>5820</v>
      </c>
      <c r="E207" s="1525">
        <v>6050</v>
      </c>
      <c r="F207" s="1539">
        <v>1080</v>
      </c>
    </row>
    <row r="208" spans="1:6" s="1519" customFormat="1" ht="14.25" customHeight="1" thickBot="1">
      <c r="A208" s="1531" t="s">
        <v>1544</v>
      </c>
      <c r="B208" s="1525" t="s">
        <v>1223</v>
      </c>
      <c r="C208" s="1525">
        <v>4630</v>
      </c>
      <c r="D208" s="1525">
        <v>4600</v>
      </c>
      <c r="E208" s="1525">
        <v>4840</v>
      </c>
      <c r="F208" s="1539">
        <v>900</v>
      </c>
    </row>
    <row r="209" spans="1:6" s="1519" customFormat="1" ht="14.25" customHeight="1" thickBot="1">
      <c r="A209" s="1531" t="s">
        <v>1544</v>
      </c>
      <c r="B209" s="1525" t="s">
        <v>1236</v>
      </c>
      <c r="C209" s="1525">
        <v>5320</v>
      </c>
      <c r="D209" s="1525">
        <v>5270</v>
      </c>
      <c r="E209" s="1525">
        <v>5540</v>
      </c>
      <c r="F209" s="1539">
        <v>980</v>
      </c>
    </row>
    <row r="210" spans="1:6" s="1519" customFormat="1" ht="14.25" customHeight="1" thickBot="1">
      <c r="A210" s="1531" t="s">
        <v>1544</v>
      </c>
      <c r="B210" s="1525" t="s">
        <v>1248</v>
      </c>
      <c r="C210" s="1525">
        <v>5760</v>
      </c>
      <c r="D210" s="1525">
        <v>5710</v>
      </c>
      <c r="E210" s="1525">
        <v>6010</v>
      </c>
      <c r="F210" s="1539">
        <v>870</v>
      </c>
    </row>
    <row r="211" spans="1:6" s="1519" customFormat="1" ht="14.25" customHeight="1" thickBot="1">
      <c r="A211" s="1531" t="s">
        <v>1544</v>
      </c>
      <c r="B211" s="1525" t="s">
        <v>1259</v>
      </c>
      <c r="C211" s="1525">
        <v>4160</v>
      </c>
      <c r="D211" s="1525">
        <v>4100</v>
      </c>
      <c r="E211" s="1525">
        <v>4270</v>
      </c>
      <c r="F211" s="1539">
        <v>790</v>
      </c>
    </row>
    <row r="212" spans="1:6" s="1519" customFormat="1" ht="14.25" customHeight="1" thickBot="1">
      <c r="A212" s="1531" t="s">
        <v>1544</v>
      </c>
      <c r="B212" s="1525" t="s">
        <v>1270</v>
      </c>
      <c r="C212" s="1525">
        <v>4880</v>
      </c>
      <c r="D212" s="1525">
        <v>4850</v>
      </c>
      <c r="E212" s="1525">
        <v>5110</v>
      </c>
      <c r="F212" s="1539">
        <v>940</v>
      </c>
    </row>
    <row r="213" spans="1:6" s="1519" customFormat="1" ht="14.25" customHeight="1" thickBot="1">
      <c r="A213" s="1531" t="s">
        <v>1544</v>
      </c>
      <c r="B213" s="1525" t="s">
        <v>1281</v>
      </c>
      <c r="C213" s="1525">
        <v>4640</v>
      </c>
      <c r="D213" s="1525">
        <v>4590</v>
      </c>
      <c r="E213" s="1525">
        <v>4700</v>
      </c>
      <c r="F213" s="1539">
        <v>1030</v>
      </c>
    </row>
    <row r="214" spans="1:6" s="1519" customFormat="1" ht="14.25" customHeight="1" thickBot="1">
      <c r="A214" s="1531" t="s">
        <v>1544</v>
      </c>
      <c r="B214" s="1525" t="s">
        <v>1293</v>
      </c>
      <c r="C214" s="1525">
        <v>4540</v>
      </c>
      <c r="D214" s="1525">
        <v>4490</v>
      </c>
      <c r="E214" s="1525">
        <v>4610</v>
      </c>
      <c r="F214" s="1543"/>
    </row>
    <row r="215" spans="1:6" s="1519" customFormat="1" ht="14.25" customHeight="1" thickBot="1">
      <c r="A215" s="1531" t="s">
        <v>1544</v>
      </c>
      <c r="B215" s="1525" t="s">
        <v>1303</v>
      </c>
      <c r="C215" s="1525">
        <v>5280</v>
      </c>
      <c r="D215" s="1525">
        <v>5250</v>
      </c>
      <c r="E215" s="1525">
        <v>5520</v>
      </c>
      <c r="F215" s="1539">
        <v>1000</v>
      </c>
    </row>
    <row r="216" spans="1:6" s="1519" customFormat="1" ht="14.25" customHeight="1" thickBot="1">
      <c r="A216" s="1531" t="s">
        <v>1544</v>
      </c>
      <c r="B216" s="1525" t="s">
        <v>1313</v>
      </c>
      <c r="C216" s="1525">
        <v>5100</v>
      </c>
      <c r="D216" s="1525">
        <v>5050</v>
      </c>
      <c r="E216" s="1525">
        <v>5300</v>
      </c>
      <c r="F216" s="1539">
        <v>950</v>
      </c>
    </row>
    <row r="217" spans="1:6" s="1519" customFormat="1" ht="14.25" customHeight="1" thickBot="1">
      <c r="A217" s="1531" t="s">
        <v>1544</v>
      </c>
      <c r="B217" s="1525" t="s">
        <v>1323</v>
      </c>
      <c r="C217" s="1525">
        <v>5370</v>
      </c>
      <c r="D217" s="1525">
        <v>5320</v>
      </c>
      <c r="E217" s="1525">
        <v>5410</v>
      </c>
      <c r="F217" s="1539">
        <v>950</v>
      </c>
    </row>
    <row r="218" spans="1:6" s="1519" customFormat="1" ht="14.25" customHeight="1" thickBot="1">
      <c r="A218" s="1531" t="s">
        <v>1544</v>
      </c>
      <c r="B218" s="1525" t="s">
        <v>1333</v>
      </c>
      <c r="C218" s="1525">
        <v>5540</v>
      </c>
      <c r="D218" s="1525">
        <v>5480</v>
      </c>
      <c r="E218" s="1525">
        <v>5740</v>
      </c>
      <c r="F218" s="1539">
        <v>1020</v>
      </c>
    </row>
    <row r="219" spans="1:6" s="1519" customFormat="1" ht="14.25" customHeight="1" thickBot="1">
      <c r="A219" s="1531" t="s">
        <v>1544</v>
      </c>
      <c r="B219" s="1525" t="s">
        <v>1344</v>
      </c>
      <c r="C219" s="1525">
        <v>5140</v>
      </c>
      <c r="D219" s="1525">
        <v>5100</v>
      </c>
      <c r="E219" s="1525">
        <v>5350</v>
      </c>
      <c r="F219" s="1539">
        <v>1120</v>
      </c>
    </row>
    <row r="220" spans="1:6" s="1519" customFormat="1" ht="14.25" customHeight="1" thickBot="1">
      <c r="A220" s="1531" t="s">
        <v>1544</v>
      </c>
      <c r="B220" s="1525" t="s">
        <v>1355</v>
      </c>
      <c r="C220" s="1525">
        <v>5040</v>
      </c>
      <c r="D220" s="1525">
        <v>5000</v>
      </c>
      <c r="E220" s="1525">
        <v>5240</v>
      </c>
      <c r="F220" s="1539">
        <v>980</v>
      </c>
    </row>
    <row r="221" spans="1:6" s="1519" customFormat="1" ht="14.25" customHeight="1" thickBot="1">
      <c r="A221" s="1531" t="s">
        <v>1544</v>
      </c>
      <c r="B221" s="1525" t="s">
        <v>1365</v>
      </c>
      <c r="C221" s="1544"/>
      <c r="D221" s="1544"/>
      <c r="E221" s="1544"/>
      <c r="F221" s="1539">
        <v>1070</v>
      </c>
    </row>
    <row r="222" spans="1:6" s="1519" customFormat="1" ht="14.25" customHeight="1" thickBot="1">
      <c r="A222" s="1531" t="s">
        <v>1544</v>
      </c>
      <c r="B222" s="1525" t="s">
        <v>1375</v>
      </c>
      <c r="C222" s="1544"/>
      <c r="D222" s="1544"/>
      <c r="E222" s="1544"/>
      <c r="F222" s="1539">
        <v>870</v>
      </c>
    </row>
    <row r="223" spans="1:6" s="1519" customFormat="1" ht="14.25" customHeight="1" thickBot="1">
      <c r="A223" s="1531" t="s">
        <v>1544</v>
      </c>
      <c r="B223" s="1525" t="s">
        <v>1385</v>
      </c>
      <c r="C223" s="1544"/>
      <c r="D223" s="1544"/>
      <c r="E223" s="1544"/>
      <c r="F223" s="1539">
        <v>940</v>
      </c>
    </row>
    <row r="224" spans="1:6" s="1519" customFormat="1" ht="14.25" customHeight="1" thickBot="1">
      <c r="A224" s="1531" t="s">
        <v>1544</v>
      </c>
      <c r="B224" s="1525" t="s">
        <v>1395</v>
      </c>
      <c r="C224" s="1544"/>
      <c r="D224" s="1544"/>
      <c r="E224" s="1544"/>
      <c r="F224" s="1539">
        <v>990</v>
      </c>
    </row>
    <row r="225" spans="1:6" s="1519" customFormat="1" ht="14.25" customHeight="1" thickBot="1">
      <c r="A225" s="1531" t="s">
        <v>1544</v>
      </c>
      <c r="B225" s="1525" t="s">
        <v>1404</v>
      </c>
      <c r="C225" s="1525">
        <v>5730</v>
      </c>
      <c r="D225" s="1525">
        <v>5680</v>
      </c>
      <c r="E225" s="1525">
        <v>6020</v>
      </c>
      <c r="F225" s="1539">
        <v>1000</v>
      </c>
    </row>
    <row r="226" spans="1:6" s="1519" customFormat="1" ht="14.25" customHeight="1" thickBot="1">
      <c r="A226" s="1531" t="s">
        <v>1544</v>
      </c>
      <c r="B226" s="1525" t="s">
        <v>1413</v>
      </c>
      <c r="C226" s="1525">
        <v>4970</v>
      </c>
      <c r="D226" s="1525">
        <v>4940</v>
      </c>
      <c r="E226" s="1525">
        <v>5180</v>
      </c>
      <c r="F226" s="1539">
        <v>960</v>
      </c>
    </row>
    <row r="227" spans="1:6" s="1519" customFormat="1" ht="14.25" customHeight="1" thickBot="1">
      <c r="A227" s="1531" t="s">
        <v>1544</v>
      </c>
      <c r="B227" s="1525" t="s">
        <v>1421</v>
      </c>
      <c r="C227" s="1525">
        <v>5550</v>
      </c>
      <c r="D227" s="1525">
        <v>5500</v>
      </c>
      <c r="E227" s="1525">
        <v>5780</v>
      </c>
      <c r="F227" s="1539">
        <v>940</v>
      </c>
    </row>
    <row r="228" spans="1:6" s="1519" customFormat="1" ht="14.25" customHeight="1" thickBot="1">
      <c r="A228" s="1531" t="s">
        <v>1544</v>
      </c>
      <c r="B228" s="1525" t="s">
        <v>1428</v>
      </c>
      <c r="C228" s="1525">
        <v>5460</v>
      </c>
      <c r="D228" s="1525">
        <v>5420</v>
      </c>
      <c r="E228" s="1525">
        <v>5690</v>
      </c>
      <c r="F228" s="1539">
        <v>910</v>
      </c>
    </row>
    <row r="229" spans="1:6" s="1519" customFormat="1" ht="14.25" customHeight="1" thickBot="1">
      <c r="A229" s="1531" t="s">
        <v>1544</v>
      </c>
      <c r="B229" s="1525" t="s">
        <v>1435</v>
      </c>
      <c r="C229" s="1525">
        <v>5310</v>
      </c>
      <c r="D229" s="1525">
        <v>5270</v>
      </c>
      <c r="E229" s="1525">
        <v>5510</v>
      </c>
      <c r="F229" s="1543"/>
    </row>
    <row r="230" spans="1:6" s="1519" customFormat="1" ht="14.25" customHeight="1" thickBot="1">
      <c r="A230" s="1531" t="s">
        <v>1544</v>
      </c>
      <c r="B230" s="1525" t="s">
        <v>1442</v>
      </c>
      <c r="C230" s="1525">
        <v>4540</v>
      </c>
      <c r="D230" s="1525">
        <v>4500</v>
      </c>
      <c r="E230" s="1525">
        <v>4730</v>
      </c>
      <c r="F230" s="1543"/>
    </row>
    <row r="231" spans="1:6" s="1519" customFormat="1" ht="14.25" customHeight="1" thickBot="1">
      <c r="A231" s="1531" t="s">
        <v>1544</v>
      </c>
      <c r="B231" s="1525" t="s">
        <v>1449</v>
      </c>
      <c r="C231" s="1525">
        <v>4480</v>
      </c>
      <c r="D231" s="1525">
        <v>4410</v>
      </c>
      <c r="E231" s="1525">
        <v>4640</v>
      </c>
      <c r="F231" s="1543"/>
    </row>
    <row r="232" spans="1:6" s="1519" customFormat="1" ht="14.25" customHeight="1" thickBot="1">
      <c r="A232" s="1531" t="s">
        <v>1544</v>
      </c>
      <c r="B232" s="1525" t="s">
        <v>1456</v>
      </c>
      <c r="C232" s="1525">
        <v>5670</v>
      </c>
      <c r="D232" s="1525">
        <v>5600</v>
      </c>
      <c r="E232" s="1525">
        <v>5890</v>
      </c>
      <c r="F232" s="1539">
        <v>1150</v>
      </c>
    </row>
    <row r="233" spans="1:6" s="1519" customFormat="1" ht="14.25" customHeight="1" thickBot="1">
      <c r="A233" s="1531" t="s">
        <v>1544</v>
      </c>
      <c r="B233" s="1525" t="s">
        <v>1463</v>
      </c>
      <c r="C233" s="1525">
        <v>4590</v>
      </c>
      <c r="D233" s="1525">
        <v>4500</v>
      </c>
      <c r="E233" s="1525">
        <v>4600</v>
      </c>
      <c r="F233" s="1543"/>
    </row>
    <row r="234" spans="1:6" s="1519" customFormat="1" ht="14.25" customHeight="1" thickBot="1">
      <c r="A234" s="1531" t="s">
        <v>1544</v>
      </c>
      <c r="B234" s="1525" t="s">
        <v>2498</v>
      </c>
      <c r="C234" s="1525">
        <v>3990</v>
      </c>
      <c r="D234" s="1525">
        <v>3950</v>
      </c>
      <c r="E234" s="1525">
        <v>4180</v>
      </c>
      <c r="F234" s="1543"/>
    </row>
    <row r="235" spans="1:6" s="1519" customFormat="1" ht="14.25" customHeight="1" thickBot="1">
      <c r="A235" s="1531" t="s">
        <v>1544</v>
      </c>
      <c r="B235" s="1525" t="s">
        <v>1472</v>
      </c>
      <c r="C235" s="1525">
        <v>5590</v>
      </c>
      <c r="D235" s="1525">
        <v>5540</v>
      </c>
      <c r="E235" s="1525">
        <v>5810</v>
      </c>
      <c r="F235" s="1539">
        <v>970</v>
      </c>
    </row>
    <row r="236" spans="1:6" s="1519" customFormat="1" ht="14.25" customHeight="1" thickBot="1">
      <c r="A236" s="1531" t="s">
        <v>1544</v>
      </c>
      <c r="B236" s="1525" t="s">
        <v>1477</v>
      </c>
      <c r="C236" s="1525"/>
      <c r="D236" s="1525"/>
      <c r="E236" s="1525"/>
      <c r="F236" s="1539">
        <v>1020</v>
      </c>
    </row>
    <row r="237" spans="1:6" s="1519" customFormat="1" ht="14.25" customHeight="1" thickBot="1">
      <c r="A237" s="1531" t="s">
        <v>1544</v>
      </c>
      <c r="B237" s="1525" t="s">
        <v>1482</v>
      </c>
      <c r="C237" s="1525"/>
      <c r="D237" s="1525"/>
      <c r="E237" s="1525"/>
      <c r="F237" s="1539">
        <v>960</v>
      </c>
    </row>
    <row r="238" spans="1:6" s="1519" customFormat="1" ht="14.25" customHeight="1" thickBot="1">
      <c r="A238" s="1531" t="s">
        <v>1544</v>
      </c>
      <c r="B238" s="1525" t="s">
        <v>1487</v>
      </c>
      <c r="C238" s="1525"/>
      <c r="D238" s="1525"/>
      <c r="E238" s="1525"/>
      <c r="F238" s="1539">
        <v>960</v>
      </c>
    </row>
    <row r="239" spans="1:6" s="1519" customFormat="1" ht="14.25" customHeight="1" thickBot="1">
      <c r="A239" s="1531" t="s">
        <v>1544</v>
      </c>
      <c r="B239" s="1525" t="s">
        <v>1492</v>
      </c>
      <c r="C239" s="1525"/>
      <c r="D239" s="1525"/>
      <c r="E239" s="1525"/>
      <c r="F239" s="1539">
        <v>960</v>
      </c>
    </row>
    <row r="240" spans="1:6" s="1519" customFormat="1" ht="14.25" customHeight="1" thickBot="1">
      <c r="A240" s="1531" t="s">
        <v>1544</v>
      </c>
      <c r="B240" s="1525" t="s">
        <v>1496</v>
      </c>
      <c r="C240" s="1525"/>
      <c r="D240" s="1525"/>
      <c r="E240" s="1525"/>
      <c r="F240" s="1539">
        <v>990</v>
      </c>
    </row>
    <row r="241" spans="1:6" s="1519" customFormat="1" ht="14.25" customHeight="1" thickBot="1">
      <c r="A241" s="1531" t="s">
        <v>1544</v>
      </c>
      <c r="B241" s="1525" t="s">
        <v>1500</v>
      </c>
      <c r="C241" s="1525"/>
      <c r="D241" s="1525"/>
      <c r="E241" s="1525"/>
      <c r="F241" s="1539">
        <v>1000</v>
      </c>
    </row>
    <row r="242" spans="1:6" s="1519" customFormat="1" ht="14.25" customHeight="1" thickBot="1">
      <c r="A242" s="1531" t="s">
        <v>1544</v>
      </c>
      <c r="B242" s="1525" t="s">
        <v>1504</v>
      </c>
      <c r="C242" s="1525"/>
      <c r="D242" s="1525"/>
      <c r="E242" s="1525"/>
      <c r="F242" s="1539">
        <v>980</v>
      </c>
    </row>
    <row r="243" spans="1:6" s="1519" customFormat="1" ht="14.25" customHeight="1" thickBot="1">
      <c r="A243" s="1531" t="s">
        <v>1544</v>
      </c>
      <c r="B243" s="1525" t="s">
        <v>1508</v>
      </c>
      <c r="C243" s="1525"/>
      <c r="D243" s="1525"/>
      <c r="E243" s="1525"/>
      <c r="F243" s="1539">
        <v>970</v>
      </c>
    </row>
    <row r="244" spans="1:6" s="1519" customFormat="1" ht="14.25" customHeight="1" thickBot="1">
      <c r="A244" s="1531" t="s">
        <v>1544</v>
      </c>
      <c r="B244" s="1537" t="s">
        <v>1512</v>
      </c>
      <c r="C244" s="1537"/>
      <c r="D244" s="1537"/>
      <c r="E244" s="1537"/>
      <c r="F244" s="1542">
        <v>970</v>
      </c>
    </row>
    <row r="245" spans="1:6" s="1519" customFormat="1" ht="14.25" customHeight="1" thickBot="1">
      <c r="A245" s="1531" t="s">
        <v>1546</v>
      </c>
      <c r="B245" s="1532" t="s">
        <v>1547</v>
      </c>
      <c r="C245" s="1532">
        <v>4050</v>
      </c>
      <c r="D245" s="1532">
        <v>4020</v>
      </c>
      <c r="E245" s="1532">
        <v>4160</v>
      </c>
      <c r="F245" s="1533">
        <v>840</v>
      </c>
    </row>
    <row r="246" spans="1:6" s="1519" customFormat="1" ht="14.25" customHeight="1" thickBot="1">
      <c r="A246" s="1531" t="s">
        <v>1546</v>
      </c>
      <c r="B246" s="1525" t="s">
        <v>1211</v>
      </c>
      <c r="C246" s="1525">
        <v>4010</v>
      </c>
      <c r="D246" s="1525">
        <v>3960</v>
      </c>
      <c r="E246" s="1525">
        <v>4130</v>
      </c>
      <c r="F246" s="1539">
        <v>840</v>
      </c>
    </row>
    <row r="247" spans="1:6" s="1519" customFormat="1" ht="14.25" customHeight="1" thickBot="1">
      <c r="A247" s="1531" t="s">
        <v>1546</v>
      </c>
      <c r="B247" s="1525" t="s">
        <v>1548</v>
      </c>
      <c r="C247" s="1525">
        <v>3170</v>
      </c>
      <c r="D247" s="1525">
        <v>3140</v>
      </c>
      <c r="E247" s="1525">
        <v>3270</v>
      </c>
      <c r="F247" s="1539">
        <v>640</v>
      </c>
    </row>
    <row r="248" spans="1:6" s="1519" customFormat="1" ht="14.25" customHeight="1" thickBot="1">
      <c r="A248" s="1531" t="s">
        <v>1546</v>
      </c>
      <c r="B248" s="1525" t="s">
        <v>1549</v>
      </c>
      <c r="C248" s="1525">
        <v>3140</v>
      </c>
      <c r="D248" s="1525">
        <v>3120</v>
      </c>
      <c r="E248" s="1525">
        <v>3240</v>
      </c>
      <c r="F248" s="1539">
        <v>620</v>
      </c>
    </row>
    <row r="249" spans="1:6" s="1519" customFormat="1" ht="14.25" customHeight="1" thickBot="1">
      <c r="A249" s="1531" t="s">
        <v>1546</v>
      </c>
      <c r="B249" s="1525" t="s">
        <v>1249</v>
      </c>
      <c r="C249" s="1525">
        <v>3200</v>
      </c>
      <c r="D249" s="1525">
        <v>3100</v>
      </c>
      <c r="E249" s="1525">
        <v>3230</v>
      </c>
      <c r="F249" s="1539">
        <v>750</v>
      </c>
    </row>
    <row r="250" spans="1:6" s="1519" customFormat="1" ht="14.25" customHeight="1" thickBot="1">
      <c r="A250" s="1531" t="s">
        <v>1546</v>
      </c>
      <c r="B250" s="1525" t="s">
        <v>1260</v>
      </c>
      <c r="C250" s="1525">
        <v>4060</v>
      </c>
      <c r="D250" s="1525">
        <v>4000</v>
      </c>
      <c r="E250" s="1525">
        <v>4140</v>
      </c>
      <c r="F250" s="1539">
        <v>790</v>
      </c>
    </row>
    <row r="251" spans="1:6" s="1519" customFormat="1" ht="14.25" customHeight="1" thickBot="1">
      <c r="A251" s="1531" t="s">
        <v>1546</v>
      </c>
      <c r="B251" s="1525" t="s">
        <v>1271</v>
      </c>
      <c r="C251" s="1525">
        <v>3990</v>
      </c>
      <c r="D251" s="1525">
        <v>3970</v>
      </c>
      <c r="E251" s="1525">
        <v>4110</v>
      </c>
      <c r="F251" s="1539">
        <v>730</v>
      </c>
    </row>
    <row r="252" spans="1:6" s="1519" customFormat="1" ht="14.25" customHeight="1" thickBot="1">
      <c r="A252" s="1531" t="s">
        <v>1546</v>
      </c>
      <c r="B252" s="1525" t="s">
        <v>1282</v>
      </c>
      <c r="C252" s="1525">
        <v>3560</v>
      </c>
      <c r="D252" s="1525">
        <v>3530</v>
      </c>
      <c r="E252" s="1525">
        <v>3650</v>
      </c>
      <c r="F252" s="1539">
        <v>750</v>
      </c>
    </row>
    <row r="253" spans="1:6" s="1519" customFormat="1" ht="14.25" customHeight="1" thickBot="1">
      <c r="A253" s="1531" t="s">
        <v>1546</v>
      </c>
      <c r="B253" s="1525" t="s">
        <v>1294</v>
      </c>
      <c r="C253" s="1525">
        <v>3780</v>
      </c>
      <c r="D253" s="1525">
        <v>3750</v>
      </c>
      <c r="E253" s="1525">
        <v>3870</v>
      </c>
      <c r="F253" s="1539">
        <v>770</v>
      </c>
    </row>
    <row r="254" spans="1:6" s="1519" customFormat="1" ht="14.25" customHeight="1" thickBot="1">
      <c r="A254" s="1531" t="s">
        <v>1546</v>
      </c>
      <c r="B254" s="1525" t="s">
        <v>1304</v>
      </c>
      <c r="C254" s="1544"/>
      <c r="D254" s="1544"/>
      <c r="E254" s="1544"/>
      <c r="F254" s="1539">
        <v>740</v>
      </c>
    </row>
    <row r="255" spans="1:6" s="1519" customFormat="1" ht="14.25" customHeight="1" thickBot="1">
      <c r="A255" s="1531" t="s">
        <v>1546</v>
      </c>
      <c r="B255" s="1525" t="s">
        <v>1314</v>
      </c>
      <c r="C255" s="1544"/>
      <c r="D255" s="1544"/>
      <c r="E255" s="1544"/>
      <c r="F255" s="1539">
        <v>760</v>
      </c>
    </row>
    <row r="256" spans="1:6" s="1519" customFormat="1" ht="14.25" customHeight="1" thickBot="1">
      <c r="A256" s="1531" t="s">
        <v>1546</v>
      </c>
      <c r="B256" s="1525" t="s">
        <v>1324</v>
      </c>
      <c r="C256" s="1525">
        <v>3760</v>
      </c>
      <c r="D256" s="1525">
        <v>3730</v>
      </c>
      <c r="E256" s="1525">
        <v>3870</v>
      </c>
      <c r="F256" s="1539">
        <v>830</v>
      </c>
    </row>
    <row r="257" spans="1:6" s="1519" customFormat="1" ht="14.25" customHeight="1" thickBot="1">
      <c r="A257" s="1531" t="s">
        <v>1546</v>
      </c>
      <c r="B257" s="1525" t="s">
        <v>1334</v>
      </c>
      <c r="C257" s="1525">
        <v>3570</v>
      </c>
      <c r="D257" s="1525">
        <v>3540</v>
      </c>
      <c r="E257" s="1525">
        <v>3650</v>
      </c>
      <c r="F257" s="1539">
        <v>790</v>
      </c>
    </row>
    <row r="258" spans="1:6" s="1519" customFormat="1" ht="14.25" customHeight="1" thickBot="1">
      <c r="A258" s="1531" t="s">
        <v>1546</v>
      </c>
      <c r="B258" s="1525" t="s">
        <v>1345</v>
      </c>
      <c r="C258" s="1525">
        <v>3410</v>
      </c>
      <c r="D258" s="1525">
        <v>3380</v>
      </c>
      <c r="E258" s="1525">
        <v>3500</v>
      </c>
      <c r="F258" s="1539">
        <v>830</v>
      </c>
    </row>
    <row r="259" spans="1:6" s="1519" customFormat="1" ht="14.25" customHeight="1" thickBot="1">
      <c r="A259" s="1531" t="s">
        <v>1546</v>
      </c>
      <c r="B259" s="1525" t="s">
        <v>1356</v>
      </c>
      <c r="C259" s="1525">
        <v>3870</v>
      </c>
      <c r="D259" s="1525">
        <v>3840</v>
      </c>
      <c r="E259" s="1525">
        <v>3970</v>
      </c>
      <c r="F259" s="1539">
        <v>830</v>
      </c>
    </row>
    <row r="260" spans="1:6" s="1519" customFormat="1" ht="14.25" customHeight="1" thickBot="1">
      <c r="A260" s="1531" t="s">
        <v>1546</v>
      </c>
      <c r="B260" s="1525" t="s">
        <v>1366</v>
      </c>
      <c r="C260" s="1525">
        <v>3700</v>
      </c>
      <c r="D260" s="1525">
        <v>3660</v>
      </c>
      <c r="E260" s="1525">
        <v>3810</v>
      </c>
      <c r="F260" s="1539">
        <v>790</v>
      </c>
    </row>
    <row r="261" spans="1:6" s="1519" customFormat="1" ht="14.25" customHeight="1" thickBot="1">
      <c r="A261" s="1531" t="s">
        <v>1546</v>
      </c>
      <c r="B261" s="1525" t="s">
        <v>1376</v>
      </c>
      <c r="C261" s="1525">
        <v>3470</v>
      </c>
      <c r="D261" s="1525">
        <v>3430</v>
      </c>
      <c r="E261" s="1525">
        <v>3640</v>
      </c>
      <c r="F261" s="1539">
        <v>760</v>
      </c>
    </row>
    <row r="262" spans="1:6" s="1519" customFormat="1" ht="14.25" customHeight="1" thickBot="1">
      <c r="A262" s="1531" t="s">
        <v>1546</v>
      </c>
      <c r="B262" s="1525" t="s">
        <v>1386</v>
      </c>
      <c r="C262" s="1525">
        <v>3510</v>
      </c>
      <c r="D262" s="1525">
        <v>3470</v>
      </c>
      <c r="E262" s="1525">
        <v>3680</v>
      </c>
      <c r="F262" s="1543"/>
    </row>
    <row r="263" spans="1:6" s="1519" customFormat="1" ht="14.25" customHeight="1" thickBot="1">
      <c r="A263" s="1531" t="s">
        <v>1546</v>
      </c>
      <c r="B263" s="1525" t="s">
        <v>1396</v>
      </c>
      <c r="C263" s="1525">
        <v>3960</v>
      </c>
      <c r="D263" s="1525">
        <v>3930</v>
      </c>
      <c r="E263" s="1525">
        <v>4070</v>
      </c>
      <c r="F263" s="1539">
        <v>830</v>
      </c>
    </row>
    <row r="264" spans="1:6" s="1519" customFormat="1" ht="14.25" customHeight="1" thickBot="1">
      <c r="A264" s="1531" t="s">
        <v>1546</v>
      </c>
      <c r="B264" s="1525" t="s">
        <v>1405</v>
      </c>
      <c r="C264" s="1525">
        <v>4010</v>
      </c>
      <c r="D264" s="1525">
        <v>3980</v>
      </c>
      <c r="E264" s="1525">
        <v>4150</v>
      </c>
      <c r="F264" s="1539">
        <v>760</v>
      </c>
    </row>
    <row r="265" spans="1:6" s="1519" customFormat="1" ht="14.25" customHeight="1" thickBot="1">
      <c r="A265" s="1531" t="s">
        <v>1546</v>
      </c>
      <c r="B265" s="1525" t="s">
        <v>1414</v>
      </c>
      <c r="C265" s="1525">
        <v>3910</v>
      </c>
      <c r="D265" s="1525">
        <v>3890</v>
      </c>
      <c r="E265" s="1525">
        <v>4040</v>
      </c>
      <c r="F265" s="1539">
        <v>780</v>
      </c>
    </row>
    <row r="266" spans="1:6" s="1519" customFormat="1" ht="14.25" customHeight="1" thickBot="1">
      <c r="A266" s="1531" t="s">
        <v>1546</v>
      </c>
      <c r="B266" s="1525" t="s">
        <v>1422</v>
      </c>
      <c r="C266" s="1525">
        <v>3930</v>
      </c>
      <c r="D266" s="1525">
        <v>3900</v>
      </c>
      <c r="E266" s="1525">
        <v>4080</v>
      </c>
      <c r="F266" s="1539">
        <v>770</v>
      </c>
    </row>
    <row r="267" spans="1:6" s="1519" customFormat="1" ht="14.25" customHeight="1" thickBot="1">
      <c r="A267" s="1531" t="s">
        <v>1546</v>
      </c>
      <c r="B267" s="1525" t="s">
        <v>1429</v>
      </c>
      <c r="C267" s="1525">
        <v>3800</v>
      </c>
      <c r="D267" s="1525">
        <v>3780</v>
      </c>
      <c r="E267" s="1525">
        <v>3930</v>
      </c>
      <c r="F267" s="1543"/>
    </row>
    <row r="268" spans="1:6" s="1519" customFormat="1" ht="14.25" customHeight="1" thickBot="1">
      <c r="A268" s="1531" t="s">
        <v>1546</v>
      </c>
      <c r="B268" s="1525" t="s">
        <v>1436</v>
      </c>
      <c r="C268" s="1525">
        <v>3460</v>
      </c>
      <c r="D268" s="1525">
        <v>3430</v>
      </c>
      <c r="E268" s="1525">
        <v>3560</v>
      </c>
      <c r="F268" s="1539">
        <v>840</v>
      </c>
    </row>
    <row r="269" spans="1:6" s="1519" customFormat="1" ht="14.25" customHeight="1" thickBot="1">
      <c r="A269" s="1531" t="s">
        <v>1546</v>
      </c>
      <c r="B269" s="1525" t="s">
        <v>1443</v>
      </c>
      <c r="C269" s="1525">
        <v>3210</v>
      </c>
      <c r="D269" s="1525">
        <v>3190</v>
      </c>
      <c r="E269" s="1525">
        <v>3310</v>
      </c>
      <c r="F269" s="1539">
        <v>730</v>
      </c>
    </row>
    <row r="270" spans="1:6" s="1519" customFormat="1" ht="14.25" customHeight="1" thickBot="1">
      <c r="A270" s="1531" t="s">
        <v>1546</v>
      </c>
      <c r="B270" s="1525" t="s">
        <v>1450</v>
      </c>
      <c r="C270" s="1525">
        <v>3240</v>
      </c>
      <c r="D270" s="1525">
        <v>3210</v>
      </c>
      <c r="E270" s="1525">
        <v>3390</v>
      </c>
      <c r="F270" s="1539">
        <v>820</v>
      </c>
    </row>
    <row r="271" spans="1:6" s="1519" customFormat="1" ht="14.25" customHeight="1" thickBot="1">
      <c r="A271" s="1531" t="s">
        <v>1546</v>
      </c>
      <c r="B271" s="1525" t="s">
        <v>1457</v>
      </c>
      <c r="C271" s="1525">
        <v>3300</v>
      </c>
      <c r="D271" s="1525">
        <v>3270</v>
      </c>
      <c r="E271" s="1525">
        <v>3380</v>
      </c>
      <c r="F271" s="1539">
        <v>750</v>
      </c>
    </row>
    <row r="272" spans="1:6" s="1519" customFormat="1" ht="14.25" customHeight="1" thickBot="1">
      <c r="A272" s="1531" t="s">
        <v>1546</v>
      </c>
      <c r="B272" s="1525" t="s">
        <v>1464</v>
      </c>
      <c r="C272" s="1544"/>
      <c r="D272" s="1544"/>
      <c r="E272" s="1544"/>
      <c r="F272" s="1539">
        <v>740</v>
      </c>
    </row>
    <row r="273" spans="1:6" s="1519" customFormat="1" ht="14.25" customHeight="1" thickBot="1">
      <c r="A273" s="1531" t="s">
        <v>1546</v>
      </c>
      <c r="B273" s="1525" t="s">
        <v>1468</v>
      </c>
      <c r="C273" s="1525">
        <v>3130</v>
      </c>
      <c r="D273" s="1525">
        <v>3100</v>
      </c>
      <c r="E273" s="1525">
        <v>3230</v>
      </c>
      <c r="F273" s="1539">
        <v>700</v>
      </c>
    </row>
    <row r="274" spans="1:6" s="1519" customFormat="1" ht="14.25" customHeight="1" thickBot="1">
      <c r="A274" s="1531" t="s">
        <v>1546</v>
      </c>
      <c r="B274" s="1525" t="s">
        <v>1473</v>
      </c>
      <c r="C274" s="1525">
        <v>3460</v>
      </c>
      <c r="D274" s="1525">
        <v>3430</v>
      </c>
      <c r="E274" s="1525">
        <v>3560</v>
      </c>
      <c r="F274" s="1539">
        <v>690</v>
      </c>
    </row>
    <row r="275" spans="1:6" s="1519" customFormat="1" ht="14.25" customHeight="1" thickBot="1">
      <c r="A275" s="1531" t="s">
        <v>1546</v>
      </c>
      <c r="B275" s="1525" t="s">
        <v>1478</v>
      </c>
      <c r="C275" s="1525">
        <v>4040</v>
      </c>
      <c r="D275" s="1525">
        <v>4020</v>
      </c>
      <c r="E275" s="1525">
        <v>4160</v>
      </c>
      <c r="F275" s="1539">
        <v>820</v>
      </c>
    </row>
    <row r="276" spans="1:6" s="1519" customFormat="1" ht="14.25" customHeight="1" thickBot="1">
      <c r="A276" s="1531" t="s">
        <v>1546</v>
      </c>
      <c r="B276" s="1525" t="s">
        <v>1483</v>
      </c>
      <c r="C276" s="1525">
        <v>3270</v>
      </c>
      <c r="D276" s="1525">
        <v>3240</v>
      </c>
      <c r="E276" s="1525">
        <v>3350</v>
      </c>
      <c r="F276" s="1539">
        <v>680</v>
      </c>
    </row>
    <row r="277" spans="1:6" s="1519" customFormat="1" ht="14.25" customHeight="1" thickBot="1">
      <c r="A277" s="1531" t="s">
        <v>1546</v>
      </c>
      <c r="B277" s="1525" t="s">
        <v>1488</v>
      </c>
      <c r="C277" s="1525">
        <v>2930</v>
      </c>
      <c r="D277" s="1525">
        <v>2900</v>
      </c>
      <c r="E277" s="1525">
        <v>3000</v>
      </c>
      <c r="F277" s="1539">
        <v>640</v>
      </c>
    </row>
    <row r="278" spans="1:6" s="1519" customFormat="1" ht="14.25" customHeight="1" thickBot="1">
      <c r="A278" s="1531" t="s">
        <v>1546</v>
      </c>
      <c r="B278" s="1525" t="s">
        <v>1493</v>
      </c>
      <c r="C278" s="1525">
        <v>4080</v>
      </c>
      <c r="D278" s="1525">
        <v>4030</v>
      </c>
      <c r="E278" s="1525">
        <v>4140</v>
      </c>
      <c r="F278" s="1539">
        <v>850</v>
      </c>
    </row>
    <row r="279" spans="1:6" s="1519" customFormat="1" ht="14.25" customHeight="1" thickBot="1">
      <c r="A279" s="1531" t="s">
        <v>1546</v>
      </c>
      <c r="B279" s="1525" t="s">
        <v>1497</v>
      </c>
      <c r="C279" s="1525"/>
      <c r="D279" s="1525"/>
      <c r="E279" s="1525"/>
      <c r="F279" s="1539">
        <v>760</v>
      </c>
    </row>
    <row r="280" spans="1:6" s="1519" customFormat="1" ht="14.25" customHeight="1" thickBot="1">
      <c r="A280" s="1531" t="s">
        <v>1546</v>
      </c>
      <c r="B280" s="1525" t="s">
        <v>1501</v>
      </c>
      <c r="C280" s="1525"/>
      <c r="D280" s="1525"/>
      <c r="E280" s="1525"/>
      <c r="F280" s="1539">
        <v>760</v>
      </c>
    </row>
    <row r="281" spans="1:6" s="1519" customFormat="1" ht="14.25" customHeight="1" thickBot="1">
      <c r="A281" s="1531" t="s">
        <v>1546</v>
      </c>
      <c r="B281" s="1525" t="s">
        <v>1505</v>
      </c>
      <c r="C281" s="1525"/>
      <c r="D281" s="1525"/>
      <c r="E281" s="1525"/>
      <c r="F281" s="1539">
        <v>780</v>
      </c>
    </row>
    <row r="282" spans="1:6" s="1519" customFormat="1" ht="14.25" customHeight="1" thickBot="1">
      <c r="A282" s="1531" t="s">
        <v>1546</v>
      </c>
      <c r="B282" s="1525" t="s">
        <v>1509</v>
      </c>
      <c r="C282" s="1525"/>
      <c r="D282" s="1525"/>
      <c r="E282" s="1525"/>
      <c r="F282" s="1539">
        <v>730</v>
      </c>
    </row>
    <row r="283" spans="1:6" s="1519" customFormat="1" ht="14.25" customHeight="1" thickBot="1">
      <c r="A283" s="1531" t="s">
        <v>1546</v>
      </c>
      <c r="B283" s="1525" t="s">
        <v>1513</v>
      </c>
      <c r="C283" s="1525"/>
      <c r="D283" s="1525"/>
      <c r="E283" s="1525"/>
      <c r="F283" s="1539">
        <v>770</v>
      </c>
    </row>
    <row r="284" spans="1:6" s="1519" customFormat="1" ht="14.25" customHeight="1" thickBot="1">
      <c r="A284" s="1531" t="s">
        <v>1546</v>
      </c>
      <c r="B284" s="1525" t="s">
        <v>1516</v>
      </c>
      <c r="C284" s="1525"/>
      <c r="D284" s="1525"/>
      <c r="E284" s="1525"/>
      <c r="F284" s="1539">
        <v>640</v>
      </c>
    </row>
    <row r="285" spans="1:6" s="1519" customFormat="1" ht="14.25" customHeight="1" thickBot="1">
      <c r="A285" s="1531" t="s">
        <v>1546</v>
      </c>
      <c r="B285" s="1525" t="s">
        <v>1519</v>
      </c>
      <c r="C285" s="1525"/>
      <c r="D285" s="1525"/>
      <c r="E285" s="1525"/>
      <c r="F285" s="1539">
        <v>640</v>
      </c>
    </row>
    <row r="286" spans="1:6" s="1519" customFormat="1" ht="14.25" customHeight="1" thickBot="1">
      <c r="A286" s="1531" t="s">
        <v>1546</v>
      </c>
      <c r="B286" s="1525" t="s">
        <v>1522</v>
      </c>
      <c r="C286" s="1525"/>
      <c r="D286" s="1525"/>
      <c r="E286" s="1525"/>
      <c r="F286" s="1539">
        <v>850</v>
      </c>
    </row>
    <row r="287" spans="1:6" s="1519" customFormat="1" ht="14.25" customHeight="1" thickBot="1">
      <c r="A287" s="1531" t="s">
        <v>1546</v>
      </c>
      <c r="B287" s="1525" t="s">
        <v>1525</v>
      </c>
      <c r="C287" s="1525"/>
      <c r="D287" s="1525"/>
      <c r="E287" s="1525"/>
      <c r="F287" s="1539">
        <v>760</v>
      </c>
    </row>
    <row r="288" spans="1:6" s="1519" customFormat="1" ht="14.25" customHeight="1" thickBot="1">
      <c r="A288" s="1531" t="s">
        <v>1546</v>
      </c>
      <c r="B288" s="1525" t="s">
        <v>1528</v>
      </c>
      <c r="C288" s="1525"/>
      <c r="D288" s="1525"/>
      <c r="E288" s="1525"/>
      <c r="F288" s="1539">
        <v>830</v>
      </c>
    </row>
    <row r="289" spans="1:6" s="1519" customFormat="1" ht="14.25" customHeight="1" thickBot="1">
      <c r="A289" s="1531" t="s">
        <v>1546</v>
      </c>
      <c r="B289" s="1537" t="s">
        <v>1531</v>
      </c>
      <c r="C289" s="1537"/>
      <c r="D289" s="1537"/>
      <c r="E289" s="1537"/>
      <c r="F289" s="1542">
        <v>680</v>
      </c>
    </row>
    <row r="290" spans="1:6" s="1519" customFormat="1" ht="14.25" customHeight="1" thickBot="1">
      <c r="A290" s="1531" t="s">
        <v>1550</v>
      </c>
      <c r="B290" s="1532" t="s">
        <v>1551</v>
      </c>
      <c r="C290" s="1532">
        <v>2770</v>
      </c>
      <c r="D290" s="1532">
        <v>2740</v>
      </c>
      <c r="E290" s="1532">
        <v>2720</v>
      </c>
      <c r="F290" s="1545"/>
    </row>
    <row r="291" spans="1:6" s="1519" customFormat="1" ht="14.25" customHeight="1" thickBot="1">
      <c r="A291" s="1531" t="s">
        <v>1550</v>
      </c>
      <c r="B291" s="1525" t="s">
        <v>1212</v>
      </c>
      <c r="C291" s="1525">
        <v>2670</v>
      </c>
      <c r="D291" s="1525">
        <v>2640</v>
      </c>
      <c r="E291" s="1525">
        <v>2620</v>
      </c>
      <c r="F291" s="1543"/>
    </row>
    <row r="292" spans="1:6" s="1519" customFormat="1" ht="14.25" customHeight="1" thickBot="1">
      <c r="A292" s="1531" t="s">
        <v>1550</v>
      </c>
      <c r="B292" s="1525" t="s">
        <v>1552</v>
      </c>
      <c r="C292" s="1525">
        <v>2180</v>
      </c>
      <c r="D292" s="1525">
        <v>2140</v>
      </c>
      <c r="E292" s="1525">
        <v>2120</v>
      </c>
      <c r="F292" s="1539">
        <v>490</v>
      </c>
    </row>
    <row r="293" spans="1:6" s="1519" customFormat="1" ht="14.25" customHeight="1" thickBot="1">
      <c r="A293" s="1531" t="s">
        <v>1550</v>
      </c>
      <c r="B293" s="1525" t="s">
        <v>1553</v>
      </c>
      <c r="C293" s="1525"/>
      <c r="D293" s="1525"/>
      <c r="E293" s="1525"/>
      <c r="F293" s="1539">
        <v>470</v>
      </c>
    </row>
    <row r="294" spans="1:6" s="1519" customFormat="1" ht="14.25" customHeight="1" thickBot="1">
      <c r="A294" s="1531" t="s">
        <v>1550</v>
      </c>
      <c r="B294" s="1525" t="s">
        <v>1554</v>
      </c>
      <c r="C294" s="1525">
        <v>2730</v>
      </c>
      <c r="D294" s="1525">
        <v>2700</v>
      </c>
      <c r="E294" s="1525">
        <v>2680</v>
      </c>
      <c r="F294" s="1539">
        <v>490</v>
      </c>
    </row>
    <row r="295" spans="1:6" s="1519" customFormat="1" ht="14.25" customHeight="1" thickBot="1">
      <c r="A295" s="1531" t="s">
        <v>1550</v>
      </c>
      <c r="B295" s="1525" t="s">
        <v>1250</v>
      </c>
      <c r="C295" s="1525">
        <v>2380</v>
      </c>
      <c r="D295" s="1525">
        <v>2350</v>
      </c>
      <c r="E295" s="1525">
        <v>2330</v>
      </c>
      <c r="F295" s="1539">
        <v>530</v>
      </c>
    </row>
    <row r="296" spans="1:6" s="1519" customFormat="1" ht="14.25" customHeight="1" thickBot="1">
      <c r="A296" s="1531" t="s">
        <v>1550</v>
      </c>
      <c r="B296" s="1525" t="s">
        <v>1261</v>
      </c>
      <c r="C296" s="1525">
        <v>2650</v>
      </c>
      <c r="D296" s="1525">
        <v>2620</v>
      </c>
      <c r="E296" s="1525">
        <v>2590</v>
      </c>
      <c r="F296" s="1539">
        <v>590</v>
      </c>
    </row>
    <row r="297" spans="1:6" s="1519" customFormat="1" ht="14.25" customHeight="1" thickBot="1">
      <c r="A297" s="1531" t="s">
        <v>1550</v>
      </c>
      <c r="B297" s="1525" t="s">
        <v>1272</v>
      </c>
      <c r="C297" s="1525">
        <v>2700</v>
      </c>
      <c r="D297" s="1525">
        <v>2670</v>
      </c>
      <c r="E297" s="1525">
        <v>2650</v>
      </c>
      <c r="F297" s="1539">
        <v>630</v>
      </c>
    </row>
    <row r="298" spans="1:6" s="1519" customFormat="1" ht="14.25" customHeight="1" thickBot="1">
      <c r="A298" s="1531" t="s">
        <v>1550</v>
      </c>
      <c r="B298" s="1525" t="s">
        <v>1283</v>
      </c>
      <c r="C298" s="1525">
        <v>2650</v>
      </c>
      <c r="D298" s="1525">
        <v>2620</v>
      </c>
      <c r="E298" s="1525">
        <v>2590</v>
      </c>
      <c r="F298" s="1539">
        <v>640</v>
      </c>
    </row>
    <row r="299" spans="1:6" s="1519" customFormat="1" ht="14.25" customHeight="1" thickBot="1">
      <c r="A299" s="1531" t="s">
        <v>1550</v>
      </c>
      <c r="B299" s="1525" t="s">
        <v>1295</v>
      </c>
      <c r="C299" s="1525">
        <v>2500</v>
      </c>
      <c r="D299" s="1525">
        <v>2480</v>
      </c>
      <c r="E299" s="1525">
        <v>2460</v>
      </c>
      <c r="F299" s="1543"/>
    </row>
    <row r="300" spans="1:6" s="1519" customFormat="1" ht="14.25" customHeight="1" thickBot="1">
      <c r="A300" s="1531" t="s">
        <v>1550</v>
      </c>
      <c r="B300" s="1525" t="s">
        <v>1305</v>
      </c>
      <c r="C300" s="1525">
        <v>2760</v>
      </c>
      <c r="D300" s="1525">
        <v>2730</v>
      </c>
      <c r="E300" s="1525">
        <v>2700</v>
      </c>
      <c r="F300" s="1539">
        <v>630</v>
      </c>
    </row>
    <row r="301" spans="1:6" s="1519" customFormat="1" ht="14.25" customHeight="1" thickBot="1">
      <c r="A301" s="1531" t="s">
        <v>1550</v>
      </c>
      <c r="B301" s="1525" t="s">
        <v>1315</v>
      </c>
      <c r="C301" s="1525">
        <v>2510</v>
      </c>
      <c r="D301" s="1525">
        <v>2480</v>
      </c>
      <c r="E301" s="1525">
        <v>2460</v>
      </c>
      <c r="F301" s="1543"/>
    </row>
    <row r="302" spans="1:6" s="1519" customFormat="1" ht="14.25" customHeight="1" thickBot="1">
      <c r="A302" s="1531" t="s">
        <v>1550</v>
      </c>
      <c r="B302" s="1525" t="s">
        <v>1325</v>
      </c>
      <c r="C302" s="1525">
        <v>2480</v>
      </c>
      <c r="D302" s="1525">
        <v>2450</v>
      </c>
      <c r="E302" s="1525">
        <v>2420</v>
      </c>
      <c r="F302" s="1539">
        <v>600</v>
      </c>
    </row>
    <row r="303" spans="1:6" s="1519" customFormat="1" ht="14.25" customHeight="1" thickBot="1">
      <c r="A303" s="1531" t="s">
        <v>1550</v>
      </c>
      <c r="B303" s="1525" t="s">
        <v>1335</v>
      </c>
      <c r="C303" s="1525">
        <v>2270</v>
      </c>
      <c r="D303" s="1525">
        <v>2240</v>
      </c>
      <c r="E303" s="1525">
        <v>2210</v>
      </c>
      <c r="F303" s="1539">
        <v>540</v>
      </c>
    </row>
    <row r="304" spans="1:6" s="1519" customFormat="1" ht="14.25" customHeight="1" thickBot="1">
      <c r="A304" s="1531" t="s">
        <v>1550</v>
      </c>
      <c r="B304" s="1525" t="s">
        <v>1346</v>
      </c>
      <c r="C304" s="1525">
        <v>2310</v>
      </c>
      <c r="D304" s="1525">
        <v>2290</v>
      </c>
      <c r="E304" s="1525">
        <v>2270</v>
      </c>
      <c r="F304" s="1543"/>
    </row>
    <row r="305" spans="1:6" s="1519" customFormat="1" ht="14.25" customHeight="1" thickBot="1">
      <c r="A305" s="1531" t="s">
        <v>1550</v>
      </c>
      <c r="B305" s="1525" t="s">
        <v>1357</v>
      </c>
      <c r="C305" s="1525">
        <v>2490</v>
      </c>
      <c r="D305" s="1525">
        <v>2470</v>
      </c>
      <c r="E305" s="1525">
        <v>2440</v>
      </c>
      <c r="F305" s="1539">
        <v>560</v>
      </c>
    </row>
    <row r="306" spans="1:6" s="1519" customFormat="1" ht="14.25" customHeight="1" thickBot="1">
      <c r="A306" s="1531" t="s">
        <v>1550</v>
      </c>
      <c r="B306" s="1525" t="s">
        <v>1367</v>
      </c>
      <c r="C306" s="1525">
        <v>2420</v>
      </c>
      <c r="D306" s="1525">
        <v>2400</v>
      </c>
      <c r="E306" s="1525">
        <v>2380</v>
      </c>
      <c r="F306" s="1543"/>
    </row>
    <row r="307" spans="1:6" s="1519" customFormat="1" ht="14.25" customHeight="1" thickBot="1">
      <c r="A307" s="1531" t="s">
        <v>1550</v>
      </c>
      <c r="B307" s="1525" t="s">
        <v>1377</v>
      </c>
      <c r="C307" s="1525">
        <v>2770</v>
      </c>
      <c r="D307" s="1525">
        <v>2740</v>
      </c>
      <c r="E307" s="1525">
        <v>2710</v>
      </c>
      <c r="F307" s="1539">
        <v>650</v>
      </c>
    </row>
    <row r="308" spans="1:6" s="1519" customFormat="1" ht="14.25" customHeight="1" thickBot="1">
      <c r="A308" s="1531" t="s">
        <v>1550</v>
      </c>
      <c r="B308" s="1525" t="s">
        <v>1387</v>
      </c>
      <c r="C308" s="1525">
        <v>2610</v>
      </c>
      <c r="D308" s="1525">
        <v>2580</v>
      </c>
      <c r="E308" s="1525">
        <v>2550</v>
      </c>
      <c r="F308" s="1539">
        <v>580</v>
      </c>
    </row>
    <row r="309" spans="1:6" s="1519" customFormat="1" ht="14.25" customHeight="1" thickBot="1">
      <c r="A309" s="1531" t="s">
        <v>1550</v>
      </c>
      <c r="B309" s="1525" t="s">
        <v>1397</v>
      </c>
      <c r="C309" s="1525">
        <v>2690</v>
      </c>
      <c r="D309" s="1525">
        <v>2670</v>
      </c>
      <c r="E309" s="1525">
        <v>2650</v>
      </c>
      <c r="F309" s="1543"/>
    </row>
    <row r="310" spans="1:6" s="1519" customFormat="1" ht="14.25" customHeight="1" thickBot="1">
      <c r="A310" s="1531" t="s">
        <v>1550</v>
      </c>
      <c r="B310" s="1525" t="s">
        <v>1406</v>
      </c>
      <c r="C310" s="1525">
        <v>2360</v>
      </c>
      <c r="D310" s="1525">
        <v>2330</v>
      </c>
      <c r="E310" s="1525">
        <v>2310</v>
      </c>
      <c r="F310" s="1539">
        <v>560</v>
      </c>
    </row>
    <row r="311" spans="1:6" s="1519" customFormat="1" ht="14.25" customHeight="1" thickBot="1">
      <c r="A311" s="1531" t="s">
        <v>1550</v>
      </c>
      <c r="B311" s="1525" t="s">
        <v>1415</v>
      </c>
      <c r="C311" s="1525">
        <v>1970</v>
      </c>
      <c r="D311" s="1525">
        <v>1950</v>
      </c>
      <c r="E311" s="1525">
        <v>1920</v>
      </c>
      <c r="F311" s="1539">
        <v>470</v>
      </c>
    </row>
    <row r="312" spans="1:6" s="1519" customFormat="1" ht="14.25" customHeight="1" thickBot="1">
      <c r="A312" s="1531" t="s">
        <v>1550</v>
      </c>
      <c r="B312" s="1525" t="s">
        <v>1423</v>
      </c>
      <c r="C312" s="1525">
        <v>2230</v>
      </c>
      <c r="D312" s="1525">
        <v>2200</v>
      </c>
      <c r="E312" s="1525">
        <v>2170</v>
      </c>
      <c r="F312" s="1539">
        <v>460</v>
      </c>
    </row>
    <row r="313" spans="1:6" s="1519" customFormat="1" ht="14.25" customHeight="1" thickBot="1">
      <c r="A313" s="1531" t="s">
        <v>1550</v>
      </c>
      <c r="B313" s="1525" t="s">
        <v>1430</v>
      </c>
      <c r="C313" s="1525">
        <v>2770</v>
      </c>
      <c r="D313" s="1525">
        <v>2740</v>
      </c>
      <c r="E313" s="1525">
        <v>2710</v>
      </c>
      <c r="F313" s="1539">
        <v>610</v>
      </c>
    </row>
    <row r="314" spans="1:6" s="1519" customFormat="1" ht="14.25" customHeight="1" thickBot="1">
      <c r="A314" s="1531" t="s">
        <v>1550</v>
      </c>
      <c r="B314" s="1525" t="s">
        <v>1437</v>
      </c>
      <c r="C314" s="1525"/>
      <c r="D314" s="1525"/>
      <c r="E314" s="1525"/>
      <c r="F314" s="1539">
        <v>490</v>
      </c>
    </row>
    <row r="315" spans="1:6" s="1519" customFormat="1" ht="14.25" customHeight="1" thickBot="1">
      <c r="A315" s="1531" t="s">
        <v>1550</v>
      </c>
      <c r="B315" s="1525" t="s">
        <v>1444</v>
      </c>
      <c r="C315" s="1525"/>
      <c r="D315" s="1525"/>
      <c r="E315" s="1525"/>
      <c r="F315" s="1539">
        <v>520</v>
      </c>
    </row>
    <row r="316" spans="1:6" s="1519" customFormat="1" ht="14.25" customHeight="1" thickBot="1">
      <c r="A316" s="1531" t="s">
        <v>1550</v>
      </c>
      <c r="B316" s="1537" t="s">
        <v>1451</v>
      </c>
      <c r="C316" s="1537"/>
      <c r="D316" s="1537"/>
      <c r="E316" s="1537"/>
      <c r="F316" s="1542">
        <v>460</v>
      </c>
    </row>
    <row r="317" spans="1:6" s="1519" customFormat="1" ht="14.25" customHeight="1" thickBot="1">
      <c r="A317" s="1531" t="s">
        <v>1337</v>
      </c>
      <c r="B317" s="1532" t="s">
        <v>1555</v>
      </c>
      <c r="C317" s="1532">
        <v>1200</v>
      </c>
      <c r="D317" s="1532">
        <v>1180</v>
      </c>
      <c r="E317" s="1532">
        <v>1160</v>
      </c>
      <c r="F317" s="1533">
        <v>370</v>
      </c>
    </row>
    <row r="318" spans="1:6" s="1519" customFormat="1" ht="14.25" customHeight="1" thickBot="1">
      <c r="A318" s="1531" t="s">
        <v>1337</v>
      </c>
      <c r="B318" s="1525" t="s">
        <v>1556</v>
      </c>
      <c r="C318" s="1525">
        <v>1090</v>
      </c>
      <c r="D318" s="1525">
        <v>1060</v>
      </c>
      <c r="E318" s="1525">
        <v>1040</v>
      </c>
      <c r="F318" s="1543"/>
    </row>
    <row r="319" spans="1:6" s="1519" customFormat="1" ht="14.25" customHeight="1" thickBot="1">
      <c r="A319" s="1531" t="s">
        <v>1337</v>
      </c>
      <c r="B319" s="1525" t="s">
        <v>1557</v>
      </c>
      <c r="C319" s="1525">
        <v>1520</v>
      </c>
      <c r="D319" s="1525">
        <v>1470</v>
      </c>
      <c r="E319" s="1525">
        <v>1440</v>
      </c>
      <c r="F319" s="1539">
        <v>370</v>
      </c>
    </row>
    <row r="320" spans="1:6" s="1519" customFormat="1" ht="14.25" customHeight="1" thickBot="1">
      <c r="A320" s="1531" t="s">
        <v>1337</v>
      </c>
      <c r="B320" s="1525" t="s">
        <v>1239</v>
      </c>
      <c r="C320" s="1525">
        <v>1360</v>
      </c>
      <c r="D320" s="1525">
        <v>1300</v>
      </c>
      <c r="E320" s="1525">
        <v>1270</v>
      </c>
      <c r="F320" s="1543"/>
    </row>
    <row r="321" spans="1:6" s="1519" customFormat="1" ht="14.25" customHeight="1" thickBot="1">
      <c r="A321" s="1531" t="s">
        <v>1337</v>
      </c>
      <c r="B321" s="1525" t="s">
        <v>1251</v>
      </c>
      <c r="C321" s="1525">
        <v>1750</v>
      </c>
      <c r="D321" s="1525">
        <v>1690</v>
      </c>
      <c r="E321" s="1525">
        <v>1660</v>
      </c>
      <c r="F321" s="1543"/>
    </row>
    <row r="322" spans="1:6" s="1519" customFormat="1" ht="14.25" customHeight="1" thickBot="1">
      <c r="A322" s="1531" t="s">
        <v>1337</v>
      </c>
      <c r="B322" s="1525" t="s">
        <v>1262</v>
      </c>
      <c r="C322" s="1525">
        <v>1650</v>
      </c>
      <c r="D322" s="1525">
        <v>1610</v>
      </c>
      <c r="E322" s="1525">
        <v>1580</v>
      </c>
      <c r="F322" s="1539">
        <v>500</v>
      </c>
    </row>
    <row r="323" spans="1:6" s="1519" customFormat="1" ht="14.25" customHeight="1" thickBot="1">
      <c r="A323" s="1531" t="s">
        <v>1337</v>
      </c>
      <c r="B323" s="1525" t="s">
        <v>1273</v>
      </c>
      <c r="C323" s="1525">
        <v>1780</v>
      </c>
      <c r="D323" s="1525">
        <v>1740</v>
      </c>
      <c r="E323" s="1525">
        <v>1720</v>
      </c>
      <c r="F323" s="1543"/>
    </row>
    <row r="324" spans="1:6" s="1519" customFormat="1" ht="14.25" customHeight="1" thickBot="1">
      <c r="A324" s="1531" t="s">
        <v>1337</v>
      </c>
      <c r="B324" s="1525" t="s">
        <v>1284</v>
      </c>
      <c r="C324" s="1525">
        <v>1650</v>
      </c>
      <c r="D324" s="1525">
        <v>1610</v>
      </c>
      <c r="E324" s="1525">
        <v>1580</v>
      </c>
      <c r="F324" s="1543"/>
    </row>
    <row r="325" spans="1:6" s="1519" customFormat="1" ht="14.25" customHeight="1" thickBot="1">
      <c r="A325" s="1531" t="s">
        <v>1337</v>
      </c>
      <c r="B325" s="1525" t="s">
        <v>1296</v>
      </c>
      <c r="C325" s="1525">
        <v>1330</v>
      </c>
      <c r="D325" s="1525">
        <v>1270</v>
      </c>
      <c r="E325" s="1525">
        <v>1240</v>
      </c>
      <c r="F325" s="1539">
        <v>430</v>
      </c>
    </row>
    <row r="326" spans="1:6" s="1519" customFormat="1" ht="14.25" customHeight="1" thickBot="1">
      <c r="A326" s="1531" t="s">
        <v>1337</v>
      </c>
      <c r="B326" s="1525" t="s">
        <v>1306</v>
      </c>
      <c r="C326" s="1525">
        <v>1470</v>
      </c>
      <c r="D326" s="1525">
        <v>1430</v>
      </c>
      <c r="E326" s="1525">
        <v>1400</v>
      </c>
      <c r="F326" s="1543"/>
    </row>
    <row r="327" spans="1:6" s="1519" customFormat="1" ht="14.25" customHeight="1" thickBot="1">
      <c r="A327" s="1531" t="s">
        <v>1337</v>
      </c>
      <c r="B327" s="1525" t="s">
        <v>1316</v>
      </c>
      <c r="C327" s="1525">
        <v>1420</v>
      </c>
      <c r="D327" s="1525">
        <v>1380</v>
      </c>
      <c r="E327" s="1525">
        <v>1360</v>
      </c>
      <c r="F327" s="1539">
        <v>420</v>
      </c>
    </row>
    <row r="328" spans="1:6" s="1519" customFormat="1" ht="14.25" customHeight="1" thickBot="1">
      <c r="A328" s="1531" t="s">
        <v>1337</v>
      </c>
      <c r="B328" s="1525" t="s">
        <v>1326</v>
      </c>
      <c r="C328" s="1525">
        <v>1400</v>
      </c>
      <c r="D328" s="1525">
        <v>1360</v>
      </c>
      <c r="E328" s="1525">
        <v>1330</v>
      </c>
      <c r="F328" s="1539">
        <v>460</v>
      </c>
    </row>
    <row r="329" spans="1:6" s="1519" customFormat="1" ht="14.25" customHeight="1" thickBot="1">
      <c r="A329" s="1531" t="s">
        <v>1337</v>
      </c>
      <c r="B329" s="1525" t="s">
        <v>1336</v>
      </c>
      <c r="C329" s="1525">
        <v>1640</v>
      </c>
      <c r="D329" s="1525">
        <v>1610</v>
      </c>
      <c r="E329" s="1525">
        <v>1580</v>
      </c>
      <c r="F329" s="1539">
        <v>410</v>
      </c>
    </row>
    <row r="330" spans="1:6" s="1519" customFormat="1" ht="14.25" customHeight="1" thickBot="1">
      <c r="A330" s="1531" t="s">
        <v>1337</v>
      </c>
      <c r="B330" s="1525" t="s">
        <v>1347</v>
      </c>
      <c r="C330" s="1525">
        <v>1260</v>
      </c>
      <c r="D330" s="1525">
        <v>1220</v>
      </c>
      <c r="E330" s="1525">
        <v>1200</v>
      </c>
      <c r="F330" s="1543"/>
    </row>
    <row r="331" spans="1:6" s="1519" customFormat="1" ht="14.25" customHeight="1" thickBot="1">
      <c r="A331" s="1531" t="s">
        <v>1337</v>
      </c>
      <c r="B331" s="1525" t="s">
        <v>1358</v>
      </c>
      <c r="C331" s="1525">
        <v>1620</v>
      </c>
      <c r="D331" s="1525">
        <v>1560</v>
      </c>
      <c r="E331" s="1525">
        <v>1530</v>
      </c>
      <c r="F331" s="1539">
        <v>490</v>
      </c>
    </row>
    <row r="332" spans="1:6" s="1519" customFormat="1" ht="14.25" customHeight="1" thickBot="1">
      <c r="A332" s="1531" t="s">
        <v>1337</v>
      </c>
      <c r="B332" s="1525" t="s">
        <v>1368</v>
      </c>
      <c r="C332" s="1525">
        <v>1520</v>
      </c>
      <c r="D332" s="1525">
        <v>1470</v>
      </c>
      <c r="E332" s="1525">
        <v>1440</v>
      </c>
      <c r="F332" s="1539">
        <v>440</v>
      </c>
    </row>
    <row r="333" spans="1:6" s="1519" customFormat="1" ht="14.25" customHeight="1" thickBot="1">
      <c r="A333" s="1531" t="s">
        <v>1337</v>
      </c>
      <c r="B333" s="1525" t="s">
        <v>1378</v>
      </c>
      <c r="C333" s="1525">
        <v>1370</v>
      </c>
      <c r="D333" s="1525">
        <v>1320</v>
      </c>
      <c r="E333" s="1525">
        <v>1300</v>
      </c>
      <c r="F333" s="1539">
        <v>460</v>
      </c>
    </row>
    <row r="334" spans="1:6" s="1519" customFormat="1" ht="14.25" customHeight="1" thickBot="1">
      <c r="A334" s="1531" t="s">
        <v>1337</v>
      </c>
      <c r="B334" s="1525" t="s">
        <v>1388</v>
      </c>
      <c r="C334" s="1525">
        <v>1410</v>
      </c>
      <c r="D334" s="1525">
        <v>1340</v>
      </c>
      <c r="E334" s="1525">
        <v>1310</v>
      </c>
      <c r="F334" s="1539">
        <v>410</v>
      </c>
    </row>
    <row r="335" spans="1:6" s="1519" customFormat="1" ht="14.25" customHeight="1" thickBot="1">
      <c r="A335" s="1531" t="s">
        <v>1337</v>
      </c>
      <c r="B335" s="1525" t="s">
        <v>1398</v>
      </c>
      <c r="C335" s="1525">
        <v>1260</v>
      </c>
      <c r="D335" s="1525">
        <v>1220</v>
      </c>
      <c r="E335" s="1525">
        <v>1200</v>
      </c>
      <c r="F335" s="1543"/>
    </row>
    <row r="336" spans="1:6" s="1519" customFormat="1" ht="14.25" customHeight="1" thickBot="1">
      <c r="A336" s="1531" t="s">
        <v>1337</v>
      </c>
      <c r="B336" s="1525" t="s">
        <v>1407</v>
      </c>
      <c r="C336" s="1525">
        <v>1160</v>
      </c>
      <c r="D336" s="1525">
        <v>1140</v>
      </c>
      <c r="E336" s="1525">
        <v>1120</v>
      </c>
      <c r="F336" s="1539">
        <v>430</v>
      </c>
    </row>
    <row r="337" spans="1:6" s="1519" customFormat="1" ht="14.25" customHeight="1" thickBot="1">
      <c r="A337" s="1531" t="s">
        <v>1337</v>
      </c>
      <c r="B337" s="1537" t="s">
        <v>1416</v>
      </c>
      <c r="C337" s="1537"/>
      <c r="D337" s="1537"/>
      <c r="E337" s="1537"/>
      <c r="F337" s="1542">
        <v>380</v>
      </c>
    </row>
    <row r="338" spans="1:6" s="1519" customFormat="1" ht="14.25" customHeight="1" thickBot="1">
      <c r="A338" s="1531" t="s">
        <v>1348</v>
      </c>
      <c r="B338" s="1532" t="s">
        <v>1558</v>
      </c>
      <c r="C338" s="1532">
        <v>880</v>
      </c>
      <c r="D338" s="1532">
        <v>850</v>
      </c>
      <c r="E338" s="1532">
        <v>830</v>
      </c>
      <c r="F338" s="1545"/>
    </row>
    <row r="339" spans="1:6" s="1519" customFormat="1" ht="14.25" customHeight="1" thickBot="1">
      <c r="A339" s="1531" t="s">
        <v>1348</v>
      </c>
      <c r="B339" s="1525" t="s">
        <v>1559</v>
      </c>
      <c r="C339" s="1525">
        <v>830</v>
      </c>
      <c r="D339" s="1525">
        <v>800</v>
      </c>
      <c r="E339" s="1525">
        <v>780</v>
      </c>
      <c r="F339" s="1543"/>
    </row>
    <row r="340" spans="1:6" s="1519" customFormat="1" ht="14.25" customHeight="1" thickBot="1">
      <c r="A340" s="1531" t="s">
        <v>1348</v>
      </c>
      <c r="B340" s="1525" t="s">
        <v>1560</v>
      </c>
      <c r="C340" s="1525">
        <v>980</v>
      </c>
      <c r="D340" s="1525">
        <v>950</v>
      </c>
      <c r="E340" s="1525">
        <v>920</v>
      </c>
      <c r="F340" s="1543"/>
    </row>
    <row r="341" spans="1:6" s="1519" customFormat="1" ht="14.25" customHeight="1" thickBot="1">
      <c r="A341" s="1531" t="s">
        <v>1348</v>
      </c>
      <c r="B341" s="1525" t="s">
        <v>1561</v>
      </c>
      <c r="C341" s="1525">
        <v>760</v>
      </c>
      <c r="D341" s="1525">
        <v>720</v>
      </c>
      <c r="E341" s="1525">
        <v>690</v>
      </c>
      <c r="F341" s="1539">
        <v>350</v>
      </c>
    </row>
    <row r="342" spans="1:6" s="1519" customFormat="1" ht="14.25" customHeight="1" thickBot="1">
      <c r="A342" s="1531" t="s">
        <v>1348</v>
      </c>
      <c r="B342" s="1525" t="s">
        <v>1252</v>
      </c>
      <c r="C342" s="1525">
        <v>910</v>
      </c>
      <c r="D342" s="1525">
        <v>870</v>
      </c>
      <c r="E342" s="1525">
        <v>850</v>
      </c>
      <c r="F342" s="1539">
        <v>370</v>
      </c>
    </row>
    <row r="343" spans="1:6" s="1519" customFormat="1" ht="14.25" customHeight="1" thickBot="1">
      <c r="A343" s="1531" t="s">
        <v>1348</v>
      </c>
      <c r="B343" s="1525" t="s">
        <v>1263</v>
      </c>
      <c r="C343" s="1525">
        <v>800</v>
      </c>
      <c r="D343" s="1525">
        <v>760</v>
      </c>
      <c r="E343" s="1525">
        <v>730</v>
      </c>
      <c r="F343" s="1539">
        <v>340</v>
      </c>
    </row>
    <row r="344" spans="1:6" s="1519" customFormat="1" ht="14.25" customHeight="1" thickBot="1">
      <c r="A344" s="1531" t="s">
        <v>1348</v>
      </c>
      <c r="B344" s="1537" t="s">
        <v>1274</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805" t="s">
        <v>2134</v>
      </c>
      <c r="B1" s="3805"/>
    </row>
    <row r="2" spans="1:6" ht="14.25" thickBot="1">
      <c r="A2" s="2113"/>
      <c r="B2" s="2113"/>
    </row>
    <row r="3" spans="1:6" ht="14.25" thickBot="1">
      <c r="A3" s="2113"/>
      <c r="B3" s="2113"/>
      <c r="C3" s="2117" t="s">
        <v>2137</v>
      </c>
      <c r="D3" s="2117" t="s">
        <v>2138</v>
      </c>
      <c r="E3" s="2117" t="s">
        <v>2139</v>
      </c>
      <c r="F3" s="2117" t="s">
        <v>2140</v>
      </c>
    </row>
    <row r="4" spans="1:6" ht="14.25" thickBot="1">
      <c r="A4" s="2115" t="s">
        <v>2135</v>
      </c>
      <c r="B4" s="2116" t="s">
        <v>2136</v>
      </c>
      <c r="C4" s="2117"/>
      <c r="D4" s="2117"/>
      <c r="E4" s="2117"/>
      <c r="F4" s="2117"/>
    </row>
    <row r="5" spans="1:6" ht="14.25" thickBot="1">
      <c r="A5" s="1531" t="s">
        <v>2141</v>
      </c>
      <c r="B5" s="1532" t="s">
        <v>2142</v>
      </c>
      <c r="C5" s="2118">
        <v>8.8999999999999996E-2</v>
      </c>
      <c r="D5" s="2118">
        <v>7.3999999999999996E-2</v>
      </c>
      <c r="E5" s="2118">
        <v>7.4999999999999997E-2</v>
      </c>
      <c r="F5" s="2119">
        <v>0.1</v>
      </c>
    </row>
    <row r="6" spans="1:6" ht="14.25" thickBot="1">
      <c r="A6" s="1531" t="s">
        <v>1228</v>
      </c>
      <c r="B6" s="1525" t="s">
        <v>2143</v>
      </c>
      <c r="C6" s="2120">
        <v>0.1</v>
      </c>
      <c r="D6" s="2120">
        <v>9.0999999999999998E-2</v>
      </c>
      <c r="E6" s="2120">
        <v>9.0999999999999998E-2</v>
      </c>
      <c r="F6" s="2121">
        <v>0.1</v>
      </c>
    </row>
    <row r="7" spans="1:6" ht="14.25" thickBot="1">
      <c r="A7" s="1531" t="s">
        <v>1228</v>
      </c>
      <c r="B7" s="1535" t="s">
        <v>1217</v>
      </c>
      <c r="C7" s="2120">
        <v>8.5999999999999993E-2</v>
      </c>
      <c r="D7" s="2120">
        <v>9.6000000000000002E-2</v>
      </c>
      <c r="E7" s="2120">
        <v>7.5999999999999998E-2</v>
      </c>
      <c r="F7" s="2121">
        <v>0.1</v>
      </c>
    </row>
    <row r="8" spans="1:6" ht="14.25" thickBot="1">
      <c r="A8" s="1531" t="s">
        <v>1228</v>
      </c>
      <c r="B8" s="1525" t="s">
        <v>1229</v>
      </c>
      <c r="C8" s="2120">
        <v>9.9000000000000005E-2</v>
      </c>
      <c r="D8" s="2120">
        <v>9.8000000000000004E-2</v>
      </c>
      <c r="E8" s="2120">
        <v>9.8000000000000004E-2</v>
      </c>
      <c r="F8" s="2121">
        <v>0.1</v>
      </c>
    </row>
    <row r="9" spans="1:6" ht="14.25" thickBot="1">
      <c r="A9" s="1541" t="s">
        <v>1228</v>
      </c>
      <c r="B9" s="1536" t="s">
        <v>1241</v>
      </c>
      <c r="C9" s="2122">
        <v>0.05</v>
      </c>
      <c r="D9" s="2130"/>
      <c r="E9" s="2130"/>
      <c r="F9" s="2131"/>
    </row>
    <row r="10" spans="1:6" ht="14.25" thickBot="1">
      <c r="A10" s="1531" t="s">
        <v>1285</v>
      </c>
      <c r="B10" s="1532" t="s">
        <v>2144</v>
      </c>
      <c r="C10" s="2118">
        <v>8.8999999999999996E-2</v>
      </c>
      <c r="D10" s="2118">
        <v>7.2999999999999995E-2</v>
      </c>
      <c r="E10" s="2118">
        <v>8.2000000000000003E-2</v>
      </c>
      <c r="F10" s="2119">
        <v>0.1</v>
      </c>
    </row>
    <row r="11" spans="1:6" ht="14.25" thickBot="1">
      <c r="A11" s="1531" t="s">
        <v>1285</v>
      </c>
      <c r="B11" s="1535" t="s">
        <v>1204</v>
      </c>
      <c r="C11" s="2120">
        <v>8.8999999999999996E-2</v>
      </c>
      <c r="D11" s="2120">
        <v>7.2999999999999995E-2</v>
      </c>
      <c r="E11" s="2120">
        <v>8.2000000000000003E-2</v>
      </c>
      <c r="F11" s="2121">
        <v>0.1</v>
      </c>
    </row>
    <row r="12" spans="1:6" ht="14.25" thickBot="1">
      <c r="A12" s="1531" t="s">
        <v>1285</v>
      </c>
      <c r="B12" s="1535" t="s">
        <v>1140</v>
      </c>
      <c r="C12" s="2120">
        <v>6.0999999999999999E-2</v>
      </c>
      <c r="D12" s="2120">
        <v>7.0999999999999994E-2</v>
      </c>
      <c r="E12" s="2120">
        <v>9.6000000000000002E-2</v>
      </c>
      <c r="F12" s="2121">
        <v>0.1</v>
      </c>
    </row>
    <row r="13" spans="1:6" ht="14.25" thickBot="1">
      <c r="A13" s="1531" t="s">
        <v>1285</v>
      </c>
      <c r="B13" s="1535" t="s">
        <v>1230</v>
      </c>
      <c r="C13" s="2120">
        <v>6.9000000000000006E-2</v>
      </c>
      <c r="D13" s="2120">
        <v>6.5000000000000002E-2</v>
      </c>
      <c r="E13" s="2120">
        <v>6.6000000000000003E-2</v>
      </c>
      <c r="F13" s="2121">
        <v>0.1</v>
      </c>
    </row>
    <row r="14" spans="1:6" ht="14.25" thickBot="1">
      <c r="A14" s="1531" t="s">
        <v>1285</v>
      </c>
      <c r="B14" s="1535" t="s">
        <v>1242</v>
      </c>
      <c r="C14" s="2120">
        <v>0.1</v>
      </c>
      <c r="D14" s="2120">
        <v>6.5000000000000002E-2</v>
      </c>
      <c r="E14" s="2120">
        <v>7.0000000000000007E-2</v>
      </c>
      <c r="F14" s="2121">
        <v>0.1</v>
      </c>
    </row>
    <row r="15" spans="1:6" ht="14.25" thickBot="1">
      <c r="A15" s="1531" t="s">
        <v>1285</v>
      </c>
      <c r="B15" s="1535" t="s">
        <v>1253</v>
      </c>
      <c r="C15" s="2120">
        <v>9.8000000000000004E-2</v>
      </c>
      <c r="D15" s="2120">
        <v>8.8999999999999996E-2</v>
      </c>
      <c r="E15" s="2120">
        <v>8.8999999999999996E-2</v>
      </c>
      <c r="F15" s="2121">
        <v>0.1</v>
      </c>
    </row>
    <row r="16" spans="1:6" ht="14.25" thickBot="1">
      <c r="A16" s="1531" t="s">
        <v>1285</v>
      </c>
      <c r="B16" s="1535" t="s">
        <v>1264</v>
      </c>
      <c r="C16" s="2120">
        <v>7.0000000000000007E-2</v>
      </c>
      <c r="D16" s="2120">
        <v>9.2999999999999999E-2</v>
      </c>
      <c r="E16" s="2120">
        <v>9.6000000000000002E-2</v>
      </c>
      <c r="F16" s="2121">
        <v>0.1</v>
      </c>
    </row>
    <row r="17" spans="1:6" ht="14.25" thickBot="1">
      <c r="A17" s="1531" t="s">
        <v>1285</v>
      </c>
      <c r="B17" s="1535" t="s">
        <v>1275</v>
      </c>
      <c r="C17" s="2120">
        <v>9.5000000000000001E-2</v>
      </c>
      <c r="D17" s="2120">
        <v>0.1</v>
      </c>
      <c r="E17" s="2120">
        <v>0.1</v>
      </c>
      <c r="F17" s="2132"/>
    </row>
    <row r="18" spans="1:6" ht="14.25" thickBot="1">
      <c r="A18" s="1531" t="s">
        <v>1285</v>
      </c>
      <c r="B18" s="1535" t="s">
        <v>1287</v>
      </c>
      <c r="C18" s="2120">
        <v>7.3999999999999996E-2</v>
      </c>
      <c r="D18" s="2120">
        <v>9.9000000000000005E-2</v>
      </c>
      <c r="E18" s="2120">
        <v>0.1</v>
      </c>
      <c r="F18" s="2132"/>
    </row>
    <row r="19" spans="1:6" ht="14.25" thickBot="1">
      <c r="A19" s="1531" t="s">
        <v>1285</v>
      </c>
      <c r="B19" s="1535" t="s">
        <v>1297</v>
      </c>
      <c r="C19" s="2120">
        <v>9.9000000000000005E-2</v>
      </c>
      <c r="D19" s="2120">
        <v>7.5999999999999998E-2</v>
      </c>
      <c r="E19" s="2120">
        <v>8.6999999999999994E-2</v>
      </c>
      <c r="F19" s="2132"/>
    </row>
    <row r="20" spans="1:6" ht="14.25" thickBot="1">
      <c r="A20" s="1531" t="s">
        <v>1285</v>
      </c>
      <c r="B20" s="1535" t="s">
        <v>1307</v>
      </c>
      <c r="C20" s="2120">
        <v>9.8000000000000004E-2</v>
      </c>
      <c r="D20" s="2120">
        <v>8.5000000000000006E-2</v>
      </c>
      <c r="E20" s="2120">
        <v>8.2000000000000003E-2</v>
      </c>
      <c r="F20" s="2132"/>
    </row>
    <row r="21" spans="1:6" ht="14.25" thickBot="1">
      <c r="A21" s="1531" t="s">
        <v>1285</v>
      </c>
      <c r="B21" s="1535" t="s">
        <v>1317</v>
      </c>
      <c r="C21" s="2120">
        <v>6.6000000000000003E-2</v>
      </c>
      <c r="D21" s="2120">
        <v>6.4000000000000001E-2</v>
      </c>
      <c r="E21" s="2120">
        <v>6.5000000000000002E-2</v>
      </c>
      <c r="F21" s="2132"/>
    </row>
    <row r="22" spans="1:6" ht="14.25" thickBot="1">
      <c r="A22" s="1531" t="s">
        <v>1285</v>
      </c>
      <c r="B22" s="1535" t="s">
        <v>2145</v>
      </c>
      <c r="C22" s="2120">
        <v>0.08</v>
      </c>
      <c r="D22" s="2120">
        <v>9.8000000000000004E-2</v>
      </c>
      <c r="E22" s="2120">
        <v>9.8000000000000004E-2</v>
      </c>
      <c r="F22" s="2132"/>
    </row>
    <row r="23" spans="1:6" ht="14.25" thickBot="1">
      <c r="A23" s="1531" t="s">
        <v>1285</v>
      </c>
      <c r="B23" s="1535" t="s">
        <v>1338</v>
      </c>
      <c r="C23" s="2120">
        <v>9.9000000000000005E-2</v>
      </c>
      <c r="D23" s="2120">
        <v>9.8000000000000004E-2</v>
      </c>
      <c r="E23" s="2120">
        <v>9.0999999999999998E-2</v>
      </c>
      <c r="F23" s="2132"/>
    </row>
    <row r="24" spans="1:6" ht="14.25" thickBot="1">
      <c r="A24" s="1531" t="s">
        <v>1285</v>
      </c>
      <c r="B24" s="1535" t="s">
        <v>1349</v>
      </c>
      <c r="C24" s="2120">
        <v>8.8999999999999996E-2</v>
      </c>
      <c r="D24" s="2120">
        <v>9.7000000000000003E-2</v>
      </c>
      <c r="E24" s="2120">
        <v>7.0000000000000007E-2</v>
      </c>
      <c r="F24" s="2132"/>
    </row>
    <row r="25" spans="1:6" ht="14.25" thickBot="1">
      <c r="A25" s="1531" t="s">
        <v>1285</v>
      </c>
      <c r="B25" s="1535" t="s">
        <v>1359</v>
      </c>
      <c r="C25" s="2120">
        <v>8.8999999999999996E-2</v>
      </c>
      <c r="D25" s="2120">
        <v>0.1</v>
      </c>
      <c r="E25" s="2120">
        <v>8.1000000000000003E-2</v>
      </c>
      <c r="F25" s="2132"/>
    </row>
    <row r="26" spans="1:6" ht="14.25" thickBot="1">
      <c r="A26" s="1531" t="s">
        <v>1285</v>
      </c>
      <c r="B26" s="1535" t="s">
        <v>1369</v>
      </c>
      <c r="C26" s="2133"/>
      <c r="D26" s="2120">
        <v>9.6000000000000002E-2</v>
      </c>
      <c r="E26" s="2120">
        <v>9.2999999999999999E-2</v>
      </c>
      <c r="F26" s="2132"/>
    </row>
    <row r="27" spans="1:6" ht="14.25" thickBot="1">
      <c r="A27" s="1531" t="s">
        <v>1285</v>
      </c>
      <c r="B27" s="1535" t="s">
        <v>1379</v>
      </c>
      <c r="C27" s="2133"/>
      <c r="D27" s="2120">
        <v>7.5999999999999998E-2</v>
      </c>
      <c r="E27" s="2120">
        <v>9.1999999999999998E-2</v>
      </c>
      <c r="F27" s="2132"/>
    </row>
    <row r="28" spans="1:6" ht="14.25" thickBot="1">
      <c r="A28" s="1541" t="s">
        <v>1285</v>
      </c>
      <c r="B28" s="1536" t="s">
        <v>1389</v>
      </c>
      <c r="C28" s="2130"/>
      <c r="D28" s="2122">
        <v>7.5999999999999998E-2</v>
      </c>
      <c r="E28" s="2122">
        <v>9.1999999999999998E-2</v>
      </c>
      <c r="F28" s="2131"/>
    </row>
    <row r="29" spans="1:6" ht="14.25" thickBot="1">
      <c r="A29" s="1531" t="s">
        <v>1458</v>
      </c>
      <c r="B29" s="1532" t="s">
        <v>2146</v>
      </c>
      <c r="C29" s="2118">
        <v>6.4000000000000001E-2</v>
      </c>
      <c r="D29" s="2118">
        <v>6.5000000000000002E-2</v>
      </c>
      <c r="E29" s="2118">
        <v>6.9000000000000006E-2</v>
      </c>
      <c r="F29" s="2119">
        <v>0.1</v>
      </c>
    </row>
    <row r="30" spans="1:6" ht="14.25" thickBot="1">
      <c r="A30" s="1531" t="s">
        <v>1458</v>
      </c>
      <c r="B30" s="1535" t="s">
        <v>1205</v>
      </c>
      <c r="C30" s="2120">
        <v>6.4000000000000001E-2</v>
      </c>
      <c r="D30" s="2120">
        <v>9.9000000000000005E-2</v>
      </c>
      <c r="E30" s="2120">
        <v>0.1</v>
      </c>
      <c r="F30" s="2121">
        <v>0.1</v>
      </c>
    </row>
    <row r="31" spans="1:6" ht="14.25" thickBot="1">
      <c r="A31" s="1531" t="s">
        <v>1458</v>
      </c>
      <c r="B31" s="1535" t="s">
        <v>1218</v>
      </c>
      <c r="C31" s="2120">
        <v>0.1</v>
      </c>
      <c r="D31" s="2120">
        <v>9.5000000000000001E-2</v>
      </c>
      <c r="E31" s="2120">
        <v>8.8999999999999996E-2</v>
      </c>
      <c r="F31" s="2121">
        <v>0.1</v>
      </c>
    </row>
    <row r="32" spans="1:6" ht="14.25" thickBot="1">
      <c r="A32" s="1531" t="s">
        <v>1458</v>
      </c>
      <c r="B32" s="1535" t="s">
        <v>1231</v>
      </c>
      <c r="C32" s="2120">
        <v>0.05</v>
      </c>
      <c r="D32" s="2120">
        <v>0.05</v>
      </c>
      <c r="E32" s="2120">
        <v>8.7999999999999995E-2</v>
      </c>
      <c r="F32" s="2121">
        <v>0.1</v>
      </c>
    </row>
    <row r="33" spans="1:6" ht="14.25" thickBot="1">
      <c r="A33" s="1531" t="s">
        <v>1458</v>
      </c>
      <c r="B33" s="1535" t="s">
        <v>1243</v>
      </c>
      <c r="C33" s="2120">
        <v>7.4999999999999997E-2</v>
      </c>
      <c r="D33" s="2120">
        <v>9.4E-2</v>
      </c>
      <c r="E33" s="2120">
        <v>9.7000000000000003E-2</v>
      </c>
      <c r="F33" s="2121">
        <v>0.1</v>
      </c>
    </row>
    <row r="34" spans="1:6" ht="14.25" thickBot="1">
      <c r="A34" s="1531" t="s">
        <v>1458</v>
      </c>
      <c r="B34" s="1535" t="s">
        <v>1254</v>
      </c>
      <c r="C34" s="2120">
        <v>9.8000000000000004E-2</v>
      </c>
      <c r="D34" s="2120">
        <v>8.5999999999999993E-2</v>
      </c>
      <c r="E34" s="2120">
        <v>9.7000000000000003E-2</v>
      </c>
      <c r="F34" s="2121">
        <v>0.1</v>
      </c>
    </row>
    <row r="35" spans="1:6" ht="14.25" thickBot="1">
      <c r="A35" s="1531" t="s">
        <v>1458</v>
      </c>
      <c r="B35" s="1535" t="s">
        <v>1265</v>
      </c>
      <c r="C35" s="2120">
        <v>5.8999999999999997E-2</v>
      </c>
      <c r="D35" s="2120">
        <v>6.5000000000000002E-2</v>
      </c>
      <c r="E35" s="2120">
        <v>7.0000000000000007E-2</v>
      </c>
      <c r="F35" s="2121">
        <v>0.1</v>
      </c>
    </row>
    <row r="36" spans="1:6" ht="14.25" thickBot="1">
      <c r="A36" s="1531" t="s">
        <v>1458</v>
      </c>
      <c r="B36" s="1535" t="s">
        <v>1276</v>
      </c>
      <c r="C36" s="2120">
        <v>6.3E-2</v>
      </c>
      <c r="D36" s="2120">
        <v>0.1</v>
      </c>
      <c r="E36" s="2120">
        <v>0.1</v>
      </c>
      <c r="F36" s="2121">
        <v>0.1</v>
      </c>
    </row>
    <row r="37" spans="1:6" ht="14.25" thickBot="1">
      <c r="A37" s="1531" t="s">
        <v>1458</v>
      </c>
      <c r="B37" s="1535" t="s">
        <v>1288</v>
      </c>
      <c r="C37" s="2120">
        <v>7.3999999999999996E-2</v>
      </c>
      <c r="D37" s="2120">
        <v>0.1</v>
      </c>
      <c r="E37" s="2120">
        <v>0.1</v>
      </c>
      <c r="F37" s="2121">
        <v>0.1</v>
      </c>
    </row>
    <row r="38" spans="1:6" ht="14.25" thickBot="1">
      <c r="A38" s="1531" t="s">
        <v>1458</v>
      </c>
      <c r="B38" s="1535" t="s">
        <v>1298</v>
      </c>
      <c r="C38" s="2120">
        <v>0.1</v>
      </c>
      <c r="D38" s="2120">
        <v>9.6000000000000002E-2</v>
      </c>
      <c r="E38" s="2120">
        <v>9.6000000000000002E-2</v>
      </c>
      <c r="F38" s="2132"/>
    </row>
    <row r="39" spans="1:6" ht="14.25" thickBot="1">
      <c r="A39" s="1531" t="s">
        <v>1458</v>
      </c>
      <c r="B39" s="1535" t="s">
        <v>1308</v>
      </c>
      <c r="C39" s="2120">
        <v>0.1</v>
      </c>
      <c r="D39" s="2120">
        <v>9.6000000000000002E-2</v>
      </c>
      <c r="E39" s="2120">
        <v>9.6000000000000002E-2</v>
      </c>
      <c r="F39" s="2132"/>
    </row>
    <row r="40" spans="1:6" ht="14.25" thickBot="1">
      <c r="A40" s="1531" t="s">
        <v>1458</v>
      </c>
      <c r="B40" s="1535" t="s">
        <v>1318</v>
      </c>
      <c r="C40" s="2120">
        <v>9.6000000000000002E-2</v>
      </c>
      <c r="D40" s="2120">
        <v>0.1</v>
      </c>
      <c r="E40" s="2120">
        <v>9.9000000000000005E-2</v>
      </c>
      <c r="F40" s="2132"/>
    </row>
    <row r="41" spans="1:6" ht="14.25" thickBot="1">
      <c r="A41" s="1531" t="s">
        <v>1458</v>
      </c>
      <c r="B41" s="1535" t="s">
        <v>1328</v>
      </c>
      <c r="C41" s="2120">
        <v>9.6000000000000002E-2</v>
      </c>
      <c r="D41" s="2120">
        <v>9.8000000000000004E-2</v>
      </c>
      <c r="E41" s="2120">
        <v>9.8000000000000004E-2</v>
      </c>
      <c r="F41" s="2132"/>
    </row>
    <row r="42" spans="1:6" ht="14.25" thickBot="1">
      <c r="A42" s="1531" t="s">
        <v>1458</v>
      </c>
      <c r="B42" s="1535" t="s">
        <v>1339</v>
      </c>
      <c r="C42" s="2120">
        <v>0.1</v>
      </c>
      <c r="D42" s="2120">
        <v>8.7999999999999995E-2</v>
      </c>
      <c r="E42" s="2120">
        <v>0.1</v>
      </c>
      <c r="F42" s="2132"/>
    </row>
    <row r="43" spans="1:6" ht="14.25" thickBot="1">
      <c r="A43" s="1531" t="s">
        <v>1458</v>
      </c>
      <c r="B43" s="1535" t="s">
        <v>1350</v>
      </c>
      <c r="C43" s="2120">
        <v>9.8000000000000004E-2</v>
      </c>
      <c r="D43" s="2120">
        <v>9.7000000000000003E-2</v>
      </c>
      <c r="E43" s="2120">
        <v>9.6000000000000002E-2</v>
      </c>
      <c r="F43" s="2132"/>
    </row>
    <row r="44" spans="1:6" ht="14.25" thickBot="1">
      <c r="A44" s="1531" t="s">
        <v>1458</v>
      </c>
      <c r="B44" s="1535" t="s">
        <v>1360</v>
      </c>
      <c r="C44" s="2120">
        <v>8.5999999999999993E-2</v>
      </c>
      <c r="D44" s="2120">
        <v>7.9000000000000001E-2</v>
      </c>
      <c r="E44" s="2120">
        <v>7.0999999999999994E-2</v>
      </c>
      <c r="F44" s="2132"/>
    </row>
    <row r="45" spans="1:6" ht="14.25" thickBot="1">
      <c r="A45" s="1531" t="s">
        <v>1458</v>
      </c>
      <c r="B45" s="1535" t="s">
        <v>1370</v>
      </c>
      <c r="C45" s="2120">
        <v>9.8000000000000004E-2</v>
      </c>
      <c r="D45" s="2120">
        <v>9.6000000000000002E-2</v>
      </c>
      <c r="E45" s="2120">
        <v>9.6000000000000002E-2</v>
      </c>
      <c r="F45" s="2132"/>
    </row>
    <row r="46" spans="1:6" ht="14.25" thickBot="1">
      <c r="A46" s="1531" t="s">
        <v>1458</v>
      </c>
      <c r="B46" s="1535" t="s">
        <v>1380</v>
      </c>
      <c r="C46" s="2120">
        <v>8.5999999999999993E-2</v>
      </c>
      <c r="D46" s="2120">
        <v>9.8000000000000004E-2</v>
      </c>
      <c r="E46" s="2120">
        <v>8.7999999999999995E-2</v>
      </c>
      <c r="F46" s="2132"/>
    </row>
    <row r="47" spans="1:6" ht="14.25" thickBot="1">
      <c r="A47" s="1531" t="s">
        <v>1458</v>
      </c>
      <c r="B47" s="1535" t="s">
        <v>1390</v>
      </c>
      <c r="C47" s="2120">
        <v>9.6000000000000002E-2</v>
      </c>
      <c r="D47" s="2133"/>
      <c r="E47" s="2120">
        <v>6.9000000000000006E-2</v>
      </c>
      <c r="F47" s="2132"/>
    </row>
    <row r="48" spans="1:6" ht="14.25" thickBot="1">
      <c r="A48" s="1541" t="s">
        <v>1458</v>
      </c>
      <c r="B48" s="1536" t="s">
        <v>1399</v>
      </c>
      <c r="C48" s="2122">
        <v>9.8000000000000004E-2</v>
      </c>
      <c r="D48" s="2130"/>
      <c r="E48" s="2122">
        <v>9.5000000000000001E-2</v>
      </c>
      <c r="F48" s="2131"/>
    </row>
    <row r="49" spans="1:6" ht="14.25" thickBot="1">
      <c r="A49" s="1531" t="s">
        <v>1139</v>
      </c>
      <c r="B49" s="1532" t="s">
        <v>2147</v>
      </c>
      <c r="C49" s="2118">
        <v>9.7000000000000003E-2</v>
      </c>
      <c r="D49" s="2118">
        <v>9.5000000000000001E-2</v>
      </c>
      <c r="E49" s="2118">
        <v>9.7000000000000003E-2</v>
      </c>
      <c r="F49" s="2119">
        <v>0.1</v>
      </c>
    </row>
    <row r="50" spans="1:6" ht="14.25" thickBot="1">
      <c r="A50" s="1531" t="s">
        <v>1139</v>
      </c>
      <c r="B50" s="1525" t="s">
        <v>1206</v>
      </c>
      <c r="C50" s="2120">
        <v>7.4999999999999997E-2</v>
      </c>
      <c r="D50" s="2120">
        <v>9.5000000000000001E-2</v>
      </c>
      <c r="E50" s="2120">
        <v>0.1</v>
      </c>
      <c r="F50" s="2121">
        <v>0.1</v>
      </c>
    </row>
    <row r="51" spans="1:6" ht="14.25" thickBot="1">
      <c r="A51" s="1531" t="s">
        <v>1139</v>
      </c>
      <c r="B51" s="1525" t="s">
        <v>1219</v>
      </c>
      <c r="C51" s="2120">
        <v>9.8000000000000004E-2</v>
      </c>
      <c r="D51" s="2120">
        <v>8.8999999999999996E-2</v>
      </c>
      <c r="E51" s="2120">
        <v>0.1</v>
      </c>
      <c r="F51" s="2121">
        <v>0.1</v>
      </c>
    </row>
    <row r="52" spans="1:6" ht="14.25" thickBot="1">
      <c r="A52" s="1531" t="s">
        <v>1139</v>
      </c>
      <c r="B52" s="1525" t="s">
        <v>1232</v>
      </c>
      <c r="C52" s="2120">
        <v>9.8000000000000004E-2</v>
      </c>
      <c r="D52" s="2120">
        <v>9.7000000000000003E-2</v>
      </c>
      <c r="E52" s="2120">
        <v>8.1000000000000003E-2</v>
      </c>
      <c r="F52" s="2121">
        <v>0.1</v>
      </c>
    </row>
    <row r="53" spans="1:6" ht="14.25" thickBot="1">
      <c r="A53" s="1531" t="s">
        <v>1139</v>
      </c>
      <c r="B53" s="1525" t="s">
        <v>1244</v>
      </c>
      <c r="C53" s="2120">
        <v>9.7000000000000003E-2</v>
      </c>
      <c r="D53" s="2120">
        <v>7.5999999999999998E-2</v>
      </c>
      <c r="E53" s="2120">
        <v>7.0999999999999994E-2</v>
      </c>
      <c r="F53" s="2121">
        <v>0.1</v>
      </c>
    </row>
    <row r="54" spans="1:6" ht="14.25" thickBot="1">
      <c r="A54" s="1531" t="s">
        <v>1139</v>
      </c>
      <c r="B54" s="1525" t="s">
        <v>1255</v>
      </c>
      <c r="C54" s="2120">
        <v>7.5999999999999998E-2</v>
      </c>
      <c r="D54" s="2120">
        <v>0.1</v>
      </c>
      <c r="E54" s="2120">
        <v>9.9000000000000005E-2</v>
      </c>
      <c r="F54" s="2121">
        <v>0.1</v>
      </c>
    </row>
    <row r="55" spans="1:6" ht="14.25" thickBot="1">
      <c r="A55" s="1531" t="s">
        <v>1139</v>
      </c>
      <c r="B55" s="1525" t="s">
        <v>1266</v>
      </c>
      <c r="C55" s="2120">
        <v>0.1</v>
      </c>
      <c r="D55" s="2120">
        <v>0.1</v>
      </c>
      <c r="E55" s="2120">
        <v>9.6000000000000002E-2</v>
      </c>
      <c r="F55" s="2121">
        <v>0.1</v>
      </c>
    </row>
    <row r="56" spans="1:6" ht="14.25" thickBot="1">
      <c r="A56" s="1531" t="s">
        <v>1139</v>
      </c>
      <c r="B56" s="1525" t="s">
        <v>1277</v>
      </c>
      <c r="C56" s="2120">
        <v>0.1</v>
      </c>
      <c r="D56" s="2120">
        <v>9.6000000000000002E-2</v>
      </c>
      <c r="E56" s="2120">
        <v>5.1999999999999998E-2</v>
      </c>
      <c r="F56" s="2121">
        <v>0.1</v>
      </c>
    </row>
    <row r="57" spans="1:6" ht="14.25" thickBot="1">
      <c r="A57" s="1531" t="s">
        <v>1139</v>
      </c>
      <c r="B57" s="1525" t="s">
        <v>1289</v>
      </c>
      <c r="C57" s="2120">
        <v>9.7000000000000003E-2</v>
      </c>
      <c r="D57" s="2120">
        <v>9.6000000000000002E-2</v>
      </c>
      <c r="E57" s="2120">
        <v>9.6000000000000002E-2</v>
      </c>
      <c r="F57" s="2121">
        <v>0.1</v>
      </c>
    </row>
    <row r="58" spans="1:6" ht="14.25" thickBot="1">
      <c r="A58" s="1531" t="s">
        <v>1139</v>
      </c>
      <c r="B58" s="1525" t="s">
        <v>1299</v>
      </c>
      <c r="C58" s="2120">
        <v>9.6000000000000002E-2</v>
      </c>
      <c r="D58" s="2120">
        <v>9.9000000000000005E-2</v>
      </c>
      <c r="E58" s="2120">
        <v>9.6000000000000002E-2</v>
      </c>
      <c r="F58" s="2121">
        <v>0.1</v>
      </c>
    </row>
    <row r="59" spans="1:6" ht="14.25" thickBot="1">
      <c r="A59" s="1531" t="s">
        <v>1139</v>
      </c>
      <c r="B59" s="1525" t="s">
        <v>1309</v>
      </c>
      <c r="C59" s="2120">
        <v>7.1999999999999995E-2</v>
      </c>
      <c r="D59" s="2120">
        <v>9.6000000000000002E-2</v>
      </c>
      <c r="E59" s="2120">
        <v>7.0999999999999994E-2</v>
      </c>
      <c r="F59" s="2121">
        <v>0.1</v>
      </c>
    </row>
    <row r="60" spans="1:6" ht="14.25" thickBot="1">
      <c r="A60" s="1531" t="s">
        <v>1139</v>
      </c>
      <c r="B60" s="1525" t="s">
        <v>1319</v>
      </c>
      <c r="C60" s="2120">
        <v>9.6000000000000002E-2</v>
      </c>
      <c r="D60" s="2120">
        <v>8.8999999999999996E-2</v>
      </c>
      <c r="E60" s="2120">
        <v>9.6000000000000002E-2</v>
      </c>
      <c r="F60" s="2121">
        <v>0.1</v>
      </c>
    </row>
    <row r="61" spans="1:6" ht="14.25" thickBot="1">
      <c r="A61" s="1531" t="s">
        <v>1139</v>
      </c>
      <c r="B61" s="1525" t="s">
        <v>1329</v>
      </c>
      <c r="C61" s="2120">
        <v>8.8999999999999996E-2</v>
      </c>
      <c r="D61" s="2120">
        <v>9.8000000000000004E-2</v>
      </c>
      <c r="E61" s="2120">
        <v>8.7999999999999995E-2</v>
      </c>
      <c r="F61" s="2132"/>
    </row>
    <row r="62" spans="1:6" ht="14.25" thickBot="1">
      <c r="A62" s="1531" t="s">
        <v>1139</v>
      </c>
      <c r="B62" s="1525" t="s">
        <v>1340</v>
      </c>
      <c r="C62" s="2120">
        <v>9.8000000000000004E-2</v>
      </c>
      <c r="D62" s="2120">
        <v>9.2999999999999999E-2</v>
      </c>
      <c r="E62" s="2120">
        <v>9.7000000000000003E-2</v>
      </c>
      <c r="F62" s="2132"/>
    </row>
    <row r="63" spans="1:6" ht="14.25" thickBot="1">
      <c r="A63" s="1531" t="s">
        <v>1139</v>
      </c>
      <c r="B63" s="1525" t="s">
        <v>1351</v>
      </c>
      <c r="C63" s="2120">
        <v>9.6000000000000002E-2</v>
      </c>
      <c r="D63" s="2120">
        <v>9.8000000000000004E-2</v>
      </c>
      <c r="E63" s="2120">
        <v>0.09</v>
      </c>
      <c r="F63" s="2132"/>
    </row>
    <row r="64" spans="1:6" ht="14.25" thickBot="1">
      <c r="A64" s="1531" t="s">
        <v>1139</v>
      </c>
      <c r="B64" s="1525" t="s">
        <v>1361</v>
      </c>
      <c r="C64" s="2120">
        <v>9.9000000000000005E-2</v>
      </c>
      <c r="D64" s="2120">
        <v>9.7000000000000003E-2</v>
      </c>
      <c r="E64" s="2120">
        <v>9.9000000000000005E-2</v>
      </c>
      <c r="F64" s="2132"/>
    </row>
    <row r="65" spans="1:6" ht="14.25" thickBot="1">
      <c r="A65" s="1531" t="s">
        <v>1139</v>
      </c>
      <c r="B65" s="1525" t="s">
        <v>1371</v>
      </c>
      <c r="C65" s="2120">
        <v>9.8000000000000004E-2</v>
      </c>
      <c r="D65" s="2120">
        <v>9.6000000000000002E-2</v>
      </c>
      <c r="E65" s="2120">
        <v>9.6000000000000002E-2</v>
      </c>
      <c r="F65" s="2132"/>
    </row>
    <row r="66" spans="1:6" ht="14.25" thickBot="1">
      <c r="A66" s="1531" t="s">
        <v>1139</v>
      </c>
      <c r="B66" s="1525" t="s">
        <v>1381</v>
      </c>
      <c r="C66" s="2120">
        <v>9.6000000000000002E-2</v>
      </c>
      <c r="D66" s="2120">
        <v>9.1999999999999998E-2</v>
      </c>
      <c r="E66" s="2120">
        <v>9.6000000000000002E-2</v>
      </c>
      <c r="F66" s="2132"/>
    </row>
    <row r="67" spans="1:6" ht="14.25" thickBot="1">
      <c r="A67" s="1531" t="s">
        <v>1139</v>
      </c>
      <c r="B67" s="1525" t="s">
        <v>1391</v>
      </c>
      <c r="C67" s="2120">
        <v>9.4E-2</v>
      </c>
      <c r="D67" s="2120">
        <v>0.1</v>
      </c>
      <c r="E67" s="2120">
        <v>8.7999999999999995E-2</v>
      </c>
      <c r="F67" s="2132"/>
    </row>
    <row r="68" spans="1:6" ht="14.25" thickBot="1">
      <c r="A68" s="1531" t="s">
        <v>1139</v>
      </c>
      <c r="B68" s="1525" t="s">
        <v>1400</v>
      </c>
      <c r="C68" s="2120">
        <v>0.1</v>
      </c>
      <c r="D68" s="2120">
        <v>8.7999999999999995E-2</v>
      </c>
      <c r="E68" s="2120">
        <v>9.7000000000000003E-2</v>
      </c>
      <c r="F68" s="2132"/>
    </row>
    <row r="69" spans="1:6" ht="14.25" thickBot="1">
      <c r="A69" s="1531" t="s">
        <v>1139</v>
      </c>
      <c r="B69" s="1525" t="s">
        <v>1409</v>
      </c>
      <c r="C69" s="2120">
        <v>6.4000000000000001E-2</v>
      </c>
      <c r="D69" s="2120">
        <v>0.1</v>
      </c>
      <c r="E69" s="2120">
        <v>0.1</v>
      </c>
      <c r="F69" s="2132"/>
    </row>
    <row r="70" spans="1:6" ht="14.25" thickBot="1">
      <c r="A70" s="1531" t="s">
        <v>1139</v>
      </c>
      <c r="B70" s="1525" t="s">
        <v>1417</v>
      </c>
      <c r="C70" s="2120">
        <v>9.0999999999999998E-2</v>
      </c>
      <c r="D70" s="2133"/>
      <c r="E70" s="2133"/>
      <c r="F70" s="2132"/>
    </row>
    <row r="71" spans="1:6" ht="14.25" thickBot="1">
      <c r="A71" s="1531" t="s">
        <v>1139</v>
      </c>
      <c r="B71" s="1525" t="s">
        <v>1424</v>
      </c>
      <c r="C71" s="2120">
        <v>0.1</v>
      </c>
      <c r="D71" s="2133"/>
      <c r="E71" s="2133"/>
      <c r="F71" s="2132"/>
    </row>
    <row r="72" spans="1:6" ht="14.25" thickBot="1">
      <c r="A72" s="1531" t="s">
        <v>1139</v>
      </c>
      <c r="B72" s="1525" t="s">
        <v>2148</v>
      </c>
      <c r="C72" s="2133"/>
      <c r="D72" s="2133"/>
      <c r="E72" s="2133"/>
      <c r="F72" s="2121">
        <v>0.05</v>
      </c>
    </row>
    <row r="73" spans="1:6" ht="14.25" thickBot="1">
      <c r="A73" s="1531" t="s">
        <v>1139</v>
      </c>
      <c r="B73" s="1525" t="s">
        <v>2149</v>
      </c>
      <c r="C73" s="2133"/>
      <c r="D73" s="2133"/>
      <c r="E73" s="2133"/>
      <c r="F73" s="2121">
        <v>0.05</v>
      </c>
    </row>
    <row r="74" spans="1:6" ht="14.25" thickBot="1">
      <c r="A74" s="1531" t="s">
        <v>1139</v>
      </c>
      <c r="B74" s="1525" t="s">
        <v>2150</v>
      </c>
      <c r="C74" s="2133"/>
      <c r="D74" s="2133"/>
      <c r="E74" s="2133"/>
      <c r="F74" s="2121">
        <v>0.05</v>
      </c>
    </row>
    <row r="75" spans="1:6" ht="14.25" thickBot="1">
      <c r="A75" s="1541" t="s">
        <v>1139</v>
      </c>
      <c r="B75" s="1537" t="s">
        <v>2151</v>
      </c>
      <c r="C75" s="2130"/>
      <c r="D75" s="2130"/>
      <c r="E75" s="2130"/>
      <c r="F75" s="2123">
        <v>0.05</v>
      </c>
    </row>
    <row r="76" spans="1:6" ht="14.25" thickBot="1">
      <c r="A76" s="1531" t="s">
        <v>1539</v>
      </c>
      <c r="B76" s="1532" t="s">
        <v>2152</v>
      </c>
      <c r="C76" s="2118">
        <v>0.1</v>
      </c>
      <c r="D76" s="2118">
        <v>0.1</v>
      </c>
      <c r="E76" s="2118">
        <v>0.1</v>
      </c>
      <c r="F76" s="2119">
        <v>0.1</v>
      </c>
    </row>
    <row r="77" spans="1:6" ht="14.25" thickBot="1">
      <c r="A77" s="1531" t="s">
        <v>1539</v>
      </c>
      <c r="B77" s="1525" t="s">
        <v>1207</v>
      </c>
      <c r="C77" s="2120">
        <v>8.7999999999999995E-2</v>
      </c>
      <c r="D77" s="2120">
        <v>8.6999999999999994E-2</v>
      </c>
      <c r="E77" s="2120">
        <v>7.9000000000000001E-2</v>
      </c>
      <c r="F77" s="2121">
        <v>0.1</v>
      </c>
    </row>
    <row r="78" spans="1:6" ht="14.25" thickBot="1">
      <c r="A78" s="1531" t="s">
        <v>1539</v>
      </c>
      <c r="B78" s="1525" t="s">
        <v>1220</v>
      </c>
      <c r="C78" s="2120">
        <v>8.6999999999999994E-2</v>
      </c>
      <c r="D78" s="2120">
        <v>8.4000000000000005E-2</v>
      </c>
      <c r="E78" s="2120">
        <v>9.6000000000000002E-2</v>
      </c>
      <c r="F78" s="2121">
        <v>0.1</v>
      </c>
    </row>
    <row r="79" spans="1:6" ht="14.25" thickBot="1">
      <c r="A79" s="1531" t="s">
        <v>1539</v>
      </c>
      <c r="B79" s="1525" t="s">
        <v>1233</v>
      </c>
      <c r="C79" s="2120">
        <v>9.8000000000000004E-2</v>
      </c>
      <c r="D79" s="2120">
        <v>9.8000000000000004E-2</v>
      </c>
      <c r="E79" s="2120">
        <v>9.0999999999999998E-2</v>
      </c>
      <c r="F79" s="2121">
        <v>0.1</v>
      </c>
    </row>
    <row r="80" spans="1:6" ht="14.25" thickBot="1">
      <c r="A80" s="1531" t="s">
        <v>1539</v>
      </c>
      <c r="B80" s="1525" t="s">
        <v>1245</v>
      </c>
      <c r="C80" s="2120">
        <v>9.6000000000000002E-2</v>
      </c>
      <c r="D80" s="2120">
        <v>9.6000000000000002E-2</v>
      </c>
      <c r="E80" s="2120">
        <v>0.1</v>
      </c>
      <c r="F80" s="2121">
        <v>0.1</v>
      </c>
    </row>
    <row r="81" spans="1:6" ht="14.25" thickBot="1">
      <c r="A81" s="1531" t="s">
        <v>1539</v>
      </c>
      <c r="B81" s="1525" t="s">
        <v>1256</v>
      </c>
      <c r="C81" s="2120">
        <v>9.9000000000000005E-2</v>
      </c>
      <c r="D81" s="2120">
        <v>9.9000000000000005E-2</v>
      </c>
      <c r="E81" s="2120">
        <v>9.8000000000000004E-2</v>
      </c>
      <c r="F81" s="2121">
        <v>0.1</v>
      </c>
    </row>
    <row r="82" spans="1:6" ht="14.25" thickBot="1">
      <c r="A82" s="1531" t="s">
        <v>1539</v>
      </c>
      <c r="B82" s="1525" t="s">
        <v>1267</v>
      </c>
      <c r="C82" s="2120">
        <v>9.9000000000000005E-2</v>
      </c>
      <c r="D82" s="2120">
        <v>9.9000000000000005E-2</v>
      </c>
      <c r="E82" s="2120">
        <v>9.7000000000000003E-2</v>
      </c>
      <c r="F82" s="2121">
        <v>0.1</v>
      </c>
    </row>
    <row r="83" spans="1:6" ht="14.25" thickBot="1">
      <c r="A83" s="1531" t="s">
        <v>1539</v>
      </c>
      <c r="B83" s="1525" t="s">
        <v>1278</v>
      </c>
      <c r="C83" s="2120">
        <v>9.8000000000000004E-2</v>
      </c>
      <c r="D83" s="2120">
        <v>9.8000000000000004E-2</v>
      </c>
      <c r="E83" s="2120">
        <v>9.8000000000000004E-2</v>
      </c>
      <c r="F83" s="2121">
        <v>0.1</v>
      </c>
    </row>
    <row r="84" spans="1:6" ht="14.25" thickBot="1">
      <c r="A84" s="1531" t="s">
        <v>1539</v>
      </c>
      <c r="B84" s="1525" t="s">
        <v>1290</v>
      </c>
      <c r="C84" s="2120">
        <v>9.9000000000000005E-2</v>
      </c>
      <c r="D84" s="2120">
        <v>9.9000000000000005E-2</v>
      </c>
      <c r="E84" s="2120">
        <v>9.9000000000000005E-2</v>
      </c>
      <c r="F84" s="2121">
        <v>0.1</v>
      </c>
    </row>
    <row r="85" spans="1:6" ht="14.25" thickBot="1">
      <c r="A85" s="1531" t="s">
        <v>1539</v>
      </c>
      <c r="B85" s="1525" t="s">
        <v>1300</v>
      </c>
      <c r="C85" s="2120">
        <v>9.9000000000000005E-2</v>
      </c>
      <c r="D85" s="2120">
        <v>9.9000000000000005E-2</v>
      </c>
      <c r="E85" s="2120">
        <v>9.9000000000000005E-2</v>
      </c>
      <c r="F85" s="2121">
        <v>0.1</v>
      </c>
    </row>
    <row r="86" spans="1:6" ht="14.25" thickBot="1">
      <c r="A86" s="1531" t="s">
        <v>1539</v>
      </c>
      <c r="B86" s="1525" t="s">
        <v>1310</v>
      </c>
      <c r="C86" s="2120">
        <v>0.1</v>
      </c>
      <c r="D86" s="2120">
        <v>0.1</v>
      </c>
      <c r="E86" s="2120">
        <v>7.6999999999999999E-2</v>
      </c>
      <c r="F86" s="2121">
        <v>0.1</v>
      </c>
    </row>
    <row r="87" spans="1:6" ht="14.25" thickBot="1">
      <c r="A87" s="1531" t="s">
        <v>1539</v>
      </c>
      <c r="B87" s="1525" t="s">
        <v>1320</v>
      </c>
      <c r="C87" s="2120">
        <v>0.1</v>
      </c>
      <c r="D87" s="2120">
        <v>0.1</v>
      </c>
      <c r="E87" s="2120">
        <v>9.8000000000000004E-2</v>
      </c>
      <c r="F87" s="2132"/>
    </row>
    <row r="88" spans="1:6" ht="14.25" thickBot="1">
      <c r="A88" s="1531" t="s">
        <v>1539</v>
      </c>
      <c r="B88" s="1525" t="s">
        <v>1330</v>
      </c>
      <c r="C88" s="2120">
        <v>9.1999999999999998E-2</v>
      </c>
      <c r="D88" s="2120">
        <v>8.5000000000000006E-2</v>
      </c>
      <c r="E88" s="2120">
        <v>9.6000000000000002E-2</v>
      </c>
      <c r="F88" s="2132"/>
    </row>
    <row r="89" spans="1:6" ht="14.25" thickBot="1">
      <c r="A89" s="1531" t="s">
        <v>1539</v>
      </c>
      <c r="B89" s="1525" t="s">
        <v>1341</v>
      </c>
      <c r="C89" s="2120">
        <v>0.1</v>
      </c>
      <c r="D89" s="2120">
        <v>0.1</v>
      </c>
      <c r="E89" s="2120">
        <v>9.7000000000000003E-2</v>
      </c>
      <c r="F89" s="2132"/>
    </row>
    <row r="90" spans="1:6" ht="14.25" thickBot="1">
      <c r="A90" s="1531" t="s">
        <v>1539</v>
      </c>
      <c r="B90" s="1525" t="s">
        <v>1352</v>
      </c>
      <c r="C90" s="2120">
        <v>9.8000000000000004E-2</v>
      </c>
      <c r="D90" s="2120">
        <v>9.8000000000000004E-2</v>
      </c>
      <c r="E90" s="2120">
        <v>8.7999999999999995E-2</v>
      </c>
      <c r="F90" s="2132"/>
    </row>
    <row r="91" spans="1:6" ht="14.25" thickBot="1">
      <c r="A91" s="1531" t="s">
        <v>1539</v>
      </c>
      <c r="B91" s="1525" t="s">
        <v>1362</v>
      </c>
      <c r="C91" s="2120">
        <v>9.9000000000000005E-2</v>
      </c>
      <c r="D91" s="2120">
        <v>9.9000000000000005E-2</v>
      </c>
      <c r="E91" s="2120">
        <v>9.0999999999999998E-2</v>
      </c>
      <c r="F91" s="2132"/>
    </row>
    <row r="92" spans="1:6" ht="14.25" thickBot="1">
      <c r="A92" s="1531" t="s">
        <v>1539</v>
      </c>
      <c r="B92" s="1525" t="s">
        <v>1372</v>
      </c>
      <c r="C92" s="2120">
        <v>9.6000000000000002E-2</v>
      </c>
      <c r="D92" s="2120">
        <v>9.6000000000000002E-2</v>
      </c>
      <c r="E92" s="2120">
        <v>7.2999999999999995E-2</v>
      </c>
      <c r="F92" s="2132"/>
    </row>
    <row r="93" spans="1:6" ht="14.25" thickBot="1">
      <c r="A93" s="1531" t="s">
        <v>1539</v>
      </c>
      <c r="B93" s="1525" t="s">
        <v>1382</v>
      </c>
      <c r="C93" s="2120">
        <v>9.6000000000000002E-2</v>
      </c>
      <c r="D93" s="2120">
        <v>9.6000000000000002E-2</v>
      </c>
      <c r="E93" s="2120">
        <v>9.9000000000000005E-2</v>
      </c>
      <c r="F93" s="2132"/>
    </row>
    <row r="94" spans="1:6" ht="14.25" thickBot="1">
      <c r="A94" s="1531" t="s">
        <v>1539</v>
      </c>
      <c r="B94" s="1525" t="s">
        <v>1392</v>
      </c>
      <c r="C94" s="2120">
        <v>7.5999999999999998E-2</v>
      </c>
      <c r="D94" s="2120">
        <v>7.3999999999999996E-2</v>
      </c>
      <c r="E94" s="2120">
        <v>9.7000000000000003E-2</v>
      </c>
      <c r="F94" s="2132"/>
    </row>
    <row r="95" spans="1:6" ht="14.25" thickBot="1">
      <c r="A95" s="1531" t="s">
        <v>1539</v>
      </c>
      <c r="B95" s="1525" t="s">
        <v>1401</v>
      </c>
      <c r="C95" s="2120">
        <v>9.9000000000000005E-2</v>
      </c>
      <c r="D95" s="2120">
        <v>9.4E-2</v>
      </c>
      <c r="E95" s="2120">
        <v>9.6000000000000002E-2</v>
      </c>
      <c r="F95" s="2132"/>
    </row>
    <row r="96" spans="1:6" ht="14.25" thickBot="1">
      <c r="A96" s="1531" t="s">
        <v>1539</v>
      </c>
      <c r="B96" s="1525" t="s">
        <v>1410</v>
      </c>
      <c r="C96" s="2120">
        <v>9.9000000000000005E-2</v>
      </c>
      <c r="D96" s="2120">
        <v>9.9000000000000005E-2</v>
      </c>
      <c r="E96" s="2120">
        <v>9.9000000000000005E-2</v>
      </c>
      <c r="F96" s="2132"/>
    </row>
    <row r="97" spans="1:6" ht="14.25" thickBot="1">
      <c r="A97" s="1531" t="s">
        <v>1539</v>
      </c>
      <c r="B97" s="1525" t="s">
        <v>1418</v>
      </c>
      <c r="C97" s="2120">
        <v>9.8000000000000004E-2</v>
      </c>
      <c r="D97" s="2120">
        <v>9.8000000000000004E-2</v>
      </c>
      <c r="E97" s="2120">
        <v>9.7000000000000003E-2</v>
      </c>
      <c r="F97" s="2132"/>
    </row>
    <row r="98" spans="1:6" ht="14.25" thickBot="1">
      <c r="A98" s="1531" t="s">
        <v>1539</v>
      </c>
      <c r="B98" s="1525" t="s">
        <v>1425</v>
      </c>
      <c r="C98" s="2120">
        <v>0.1</v>
      </c>
      <c r="D98" s="2120">
        <v>0.1</v>
      </c>
      <c r="E98" s="2120">
        <v>9.7000000000000003E-2</v>
      </c>
      <c r="F98" s="2132"/>
    </row>
    <row r="99" spans="1:6" ht="14.25" thickBot="1">
      <c r="A99" s="1531" t="s">
        <v>1539</v>
      </c>
      <c r="B99" s="1525" t="s">
        <v>1432</v>
      </c>
      <c r="C99" s="2120">
        <v>0.1</v>
      </c>
      <c r="D99" s="2120">
        <v>0.1</v>
      </c>
      <c r="E99" s="2133"/>
      <c r="F99" s="2132"/>
    </row>
    <row r="100" spans="1:6" ht="14.25" thickBot="1">
      <c r="A100" s="1531" t="s">
        <v>1539</v>
      </c>
      <c r="B100" s="1525" t="s">
        <v>1439</v>
      </c>
      <c r="C100" s="2120">
        <v>0.09</v>
      </c>
      <c r="D100" s="2120">
        <v>8.8999999999999996E-2</v>
      </c>
      <c r="E100" s="2133"/>
      <c r="F100" s="2132"/>
    </row>
    <row r="101" spans="1:6" ht="14.25" thickBot="1">
      <c r="A101" s="1531" t="s">
        <v>1539</v>
      </c>
      <c r="B101" s="1525" t="s">
        <v>1446</v>
      </c>
      <c r="C101" s="2120">
        <v>9.8000000000000004E-2</v>
      </c>
      <c r="D101" s="2120">
        <v>9.7000000000000003E-2</v>
      </c>
      <c r="E101" s="2133"/>
      <c r="F101" s="2132"/>
    </row>
    <row r="102" spans="1:6" ht="14.25" thickBot="1">
      <c r="A102" s="1531" t="s">
        <v>1539</v>
      </c>
      <c r="B102" s="1525" t="s">
        <v>2153</v>
      </c>
      <c r="C102" s="2133"/>
      <c r="D102" s="2133"/>
      <c r="E102" s="2133"/>
      <c r="F102" s="2121">
        <v>0.05</v>
      </c>
    </row>
    <row r="103" spans="1:6" ht="24.75" thickBot="1">
      <c r="A103" s="1531" t="s">
        <v>1539</v>
      </c>
      <c r="B103" s="1525" t="s">
        <v>2154</v>
      </c>
      <c r="C103" s="2133"/>
      <c r="D103" s="2133"/>
      <c r="E103" s="2133"/>
      <c r="F103" s="2121">
        <v>0.05</v>
      </c>
    </row>
    <row r="104" spans="1:6" ht="14.25" thickBot="1">
      <c r="A104" s="1531" t="s">
        <v>1539</v>
      </c>
      <c r="B104" s="1525" t="s">
        <v>2155</v>
      </c>
      <c r="C104" s="2133"/>
      <c r="D104" s="2133"/>
      <c r="E104" s="2133"/>
      <c r="F104" s="2121">
        <v>0.05</v>
      </c>
    </row>
    <row r="105" spans="1:6" ht="14.25" thickBot="1">
      <c r="A105" s="1531" t="s">
        <v>1539</v>
      </c>
      <c r="B105" s="1525" t="s">
        <v>2156</v>
      </c>
      <c r="C105" s="2133"/>
      <c r="D105" s="2133"/>
      <c r="E105" s="2133"/>
      <c r="F105" s="2121">
        <v>0.05</v>
      </c>
    </row>
    <row r="106" spans="1:6" ht="14.25" thickBot="1">
      <c r="A106" s="1531" t="s">
        <v>1539</v>
      </c>
      <c r="B106" s="1525" t="s">
        <v>2157</v>
      </c>
      <c r="C106" s="2133"/>
      <c r="D106" s="2133"/>
      <c r="E106" s="2133"/>
      <c r="F106" s="2121">
        <v>0.05</v>
      </c>
    </row>
    <row r="107" spans="1:6" ht="24.75" thickBot="1">
      <c r="A107" s="1531" t="s">
        <v>1539</v>
      </c>
      <c r="B107" s="1525" t="s">
        <v>2158</v>
      </c>
      <c r="C107" s="2133"/>
      <c r="D107" s="2133"/>
      <c r="E107" s="2133"/>
      <c r="F107" s="2121">
        <v>0.05</v>
      </c>
    </row>
    <row r="108" spans="1:6" ht="24.75" thickBot="1">
      <c r="A108" s="1531" t="s">
        <v>1539</v>
      </c>
      <c r="B108" s="1525" t="s">
        <v>2159</v>
      </c>
      <c r="C108" s="2133"/>
      <c r="D108" s="2133"/>
      <c r="E108" s="2133"/>
      <c r="F108" s="2121">
        <v>0.05</v>
      </c>
    </row>
    <row r="109" spans="1:6" ht="24.75" thickBot="1">
      <c r="A109" s="1541" t="s">
        <v>1539</v>
      </c>
      <c r="B109" s="1537" t="s">
        <v>2160</v>
      </c>
      <c r="C109" s="2130"/>
      <c r="D109" s="2130"/>
      <c r="E109" s="2130"/>
      <c r="F109" s="2123">
        <v>0.05</v>
      </c>
    </row>
    <row r="110" spans="1:6" ht="14.25" thickBot="1">
      <c r="A110" s="1531" t="s">
        <v>201</v>
      </c>
      <c r="B110" s="1532" t="s">
        <v>2161</v>
      </c>
      <c r="C110" s="2118">
        <v>0.129</v>
      </c>
      <c r="D110" s="2118">
        <v>0.129</v>
      </c>
      <c r="E110" s="2118">
        <v>0.126</v>
      </c>
      <c r="F110" s="2119">
        <v>0.13</v>
      </c>
    </row>
    <row r="111" spans="1:6" ht="14.25" thickBot="1">
      <c r="A111" s="1531" t="s">
        <v>201</v>
      </c>
      <c r="B111" s="1525" t="s">
        <v>1208</v>
      </c>
      <c r="C111" s="2120">
        <v>0.11</v>
      </c>
      <c r="D111" s="2120">
        <v>0.11</v>
      </c>
      <c r="E111" s="2120">
        <v>9.9000000000000005E-2</v>
      </c>
      <c r="F111" s="2121">
        <v>0.128</v>
      </c>
    </row>
    <row r="112" spans="1:6" ht="14.25" thickBot="1">
      <c r="A112" s="1531" t="s">
        <v>201</v>
      </c>
      <c r="B112" s="1525" t="s">
        <v>1221</v>
      </c>
      <c r="C112" s="2120">
        <v>0.125</v>
      </c>
      <c r="D112" s="2120">
        <v>0.125</v>
      </c>
      <c r="E112" s="2120">
        <v>0.12</v>
      </c>
      <c r="F112" s="2121">
        <v>0.125</v>
      </c>
    </row>
    <row r="113" spans="1:6" ht="14.25" thickBot="1">
      <c r="A113" s="1531" t="s">
        <v>201</v>
      </c>
      <c r="B113" s="1525" t="s">
        <v>1234</v>
      </c>
      <c r="C113" s="2120">
        <v>0.13</v>
      </c>
      <c r="D113" s="2120">
        <v>0.13</v>
      </c>
      <c r="E113" s="2120">
        <v>0.13</v>
      </c>
      <c r="F113" s="2121">
        <v>0.13</v>
      </c>
    </row>
    <row r="114" spans="1:6" ht="14.25" thickBot="1">
      <c r="A114" s="1531" t="s">
        <v>201</v>
      </c>
      <c r="B114" s="1525" t="s">
        <v>1246</v>
      </c>
      <c r="C114" s="2120">
        <v>0.123</v>
      </c>
      <c r="D114" s="2120">
        <v>0.123</v>
      </c>
      <c r="E114" s="2120">
        <v>0.12</v>
      </c>
      <c r="F114" s="2121">
        <v>0.13</v>
      </c>
    </row>
    <row r="115" spans="1:6" ht="14.25" thickBot="1">
      <c r="A115" s="1531" t="s">
        <v>201</v>
      </c>
      <c r="B115" s="1525" t="s">
        <v>1257</v>
      </c>
      <c r="C115" s="2120">
        <v>0.125</v>
      </c>
      <c r="D115" s="2120">
        <v>0.125</v>
      </c>
      <c r="E115" s="2120">
        <v>0.11700000000000001</v>
      </c>
      <c r="F115" s="2121">
        <v>0.13</v>
      </c>
    </row>
    <row r="116" spans="1:6" ht="14.25" thickBot="1">
      <c r="A116" s="1531" t="s">
        <v>201</v>
      </c>
      <c r="B116" s="1525" t="s">
        <v>1268</v>
      </c>
      <c r="C116" s="2120">
        <v>0.11700000000000001</v>
      </c>
      <c r="D116" s="2120">
        <v>0.11700000000000001</v>
      </c>
      <c r="E116" s="2120">
        <v>8.7999999999999995E-2</v>
      </c>
      <c r="F116" s="2121">
        <v>0.13</v>
      </c>
    </row>
    <row r="117" spans="1:6" ht="14.25" thickBot="1">
      <c r="A117" s="1531" t="s">
        <v>201</v>
      </c>
      <c r="B117" s="1525" t="s">
        <v>1279</v>
      </c>
      <c r="C117" s="2120">
        <v>0.13</v>
      </c>
      <c r="D117" s="2120">
        <v>0.13</v>
      </c>
      <c r="E117" s="2120">
        <v>0.129</v>
      </c>
      <c r="F117" s="2121">
        <v>0.13</v>
      </c>
    </row>
    <row r="118" spans="1:6" ht="14.25" thickBot="1">
      <c r="A118" s="1531" t="s">
        <v>201</v>
      </c>
      <c r="B118" s="1525" t="s">
        <v>1291</v>
      </c>
      <c r="C118" s="2120">
        <v>0.123</v>
      </c>
      <c r="D118" s="2120">
        <v>0.123</v>
      </c>
      <c r="E118" s="2120">
        <v>0.11600000000000001</v>
      </c>
      <c r="F118" s="2121">
        <v>0.13</v>
      </c>
    </row>
    <row r="119" spans="1:6" ht="14.25" thickBot="1">
      <c r="A119" s="1531" t="s">
        <v>201</v>
      </c>
      <c r="B119" s="1525" t="s">
        <v>1301</v>
      </c>
      <c r="C119" s="2120">
        <v>0.127</v>
      </c>
      <c r="D119" s="2120">
        <v>0.127</v>
      </c>
      <c r="E119" s="2120">
        <v>0.124</v>
      </c>
      <c r="F119" s="2121">
        <v>0.13</v>
      </c>
    </row>
    <row r="120" spans="1:6" ht="14.25" thickBot="1">
      <c r="A120" s="1531" t="s">
        <v>201</v>
      </c>
      <c r="B120" s="1525" t="s">
        <v>1311</v>
      </c>
      <c r="C120" s="2120">
        <v>0.125</v>
      </c>
      <c r="D120" s="2120">
        <v>0.125</v>
      </c>
      <c r="E120" s="2120">
        <v>0.122</v>
      </c>
      <c r="F120" s="2121">
        <v>0.13</v>
      </c>
    </row>
    <row r="121" spans="1:6" ht="14.25" thickBot="1">
      <c r="A121" s="1531" t="s">
        <v>201</v>
      </c>
      <c r="B121" s="1525" t="s">
        <v>1321</v>
      </c>
      <c r="C121" s="2120">
        <v>0.13</v>
      </c>
      <c r="D121" s="2120">
        <v>0.13</v>
      </c>
      <c r="E121" s="2120">
        <v>0.13</v>
      </c>
      <c r="F121" s="2121">
        <v>0.13</v>
      </c>
    </row>
    <row r="122" spans="1:6" ht="14.25" thickBot="1">
      <c r="A122" s="1531" t="s">
        <v>201</v>
      </c>
      <c r="B122" s="1525" t="s">
        <v>1331</v>
      </c>
      <c r="C122" s="2120">
        <v>0.13</v>
      </c>
      <c r="D122" s="2120">
        <v>0.13</v>
      </c>
      <c r="E122" s="2120">
        <v>0.125</v>
      </c>
      <c r="F122" s="2121">
        <v>0.13</v>
      </c>
    </row>
    <row r="123" spans="1:6" ht="14.25" thickBot="1">
      <c r="A123" s="1531" t="s">
        <v>201</v>
      </c>
      <c r="B123" s="1525" t="s">
        <v>1342</v>
      </c>
      <c r="C123" s="2120">
        <v>0.129</v>
      </c>
      <c r="D123" s="2120">
        <v>0.129</v>
      </c>
      <c r="E123" s="2120">
        <v>0.123</v>
      </c>
      <c r="F123" s="2121">
        <v>0.13</v>
      </c>
    </row>
    <row r="124" spans="1:6" ht="14.25" thickBot="1">
      <c r="A124" s="1531" t="s">
        <v>201</v>
      </c>
      <c r="B124" s="1525" t="s">
        <v>1353</v>
      </c>
      <c r="C124" s="2120">
        <v>0.10199999999999999</v>
      </c>
      <c r="D124" s="2120">
        <v>0.10100000000000001</v>
      </c>
      <c r="E124" s="2120">
        <v>0.08</v>
      </c>
      <c r="F124" s="2132"/>
    </row>
    <row r="125" spans="1:6" ht="14.25" thickBot="1">
      <c r="A125" s="1531" t="s">
        <v>201</v>
      </c>
      <c r="B125" s="1525" t="s">
        <v>1363</v>
      </c>
      <c r="C125" s="2120">
        <v>0.13</v>
      </c>
      <c r="D125" s="2120">
        <v>0.13</v>
      </c>
      <c r="E125" s="2120">
        <v>0.129</v>
      </c>
      <c r="F125" s="2132"/>
    </row>
    <row r="126" spans="1:6" ht="14.25" thickBot="1">
      <c r="A126" s="1531" t="s">
        <v>201</v>
      </c>
      <c r="B126" s="1525" t="s">
        <v>1373</v>
      </c>
      <c r="C126" s="2120">
        <v>0.13</v>
      </c>
      <c r="D126" s="2120">
        <v>0.13</v>
      </c>
      <c r="E126" s="2120">
        <v>0.126</v>
      </c>
      <c r="F126" s="2132"/>
    </row>
    <row r="127" spans="1:6" ht="14.25" thickBot="1">
      <c r="A127" s="1531" t="s">
        <v>201</v>
      </c>
      <c r="B127" s="1525" t="s">
        <v>1383</v>
      </c>
      <c r="C127" s="2120">
        <v>0.125</v>
      </c>
      <c r="D127" s="2120">
        <v>0.125</v>
      </c>
      <c r="E127" s="2120">
        <v>0.121</v>
      </c>
      <c r="F127" s="2132"/>
    </row>
    <row r="128" spans="1:6" ht="14.25" thickBot="1">
      <c r="A128" s="1531" t="s">
        <v>201</v>
      </c>
      <c r="B128" s="1525" t="s">
        <v>1393</v>
      </c>
      <c r="C128" s="2120">
        <v>0.12</v>
      </c>
      <c r="D128" s="2120">
        <v>0.12</v>
      </c>
      <c r="E128" s="2120">
        <v>0.105</v>
      </c>
      <c r="F128" s="2132"/>
    </row>
    <row r="129" spans="1:6" ht="14.25" thickBot="1">
      <c r="A129" s="1531" t="s">
        <v>201</v>
      </c>
      <c r="B129" s="1525" t="s">
        <v>1402</v>
      </c>
      <c r="C129" s="2120">
        <v>0.13</v>
      </c>
      <c r="D129" s="2120">
        <v>0.13</v>
      </c>
      <c r="E129" s="2120">
        <v>0.126</v>
      </c>
      <c r="F129" s="2132"/>
    </row>
    <row r="130" spans="1:6" ht="14.25" thickBot="1">
      <c r="A130" s="1531" t="s">
        <v>201</v>
      </c>
      <c r="B130" s="1525" t="s">
        <v>1411</v>
      </c>
      <c r="C130" s="2120">
        <v>0.125</v>
      </c>
      <c r="D130" s="2120">
        <v>0.125</v>
      </c>
      <c r="E130" s="2120">
        <v>0.122</v>
      </c>
      <c r="F130" s="2132"/>
    </row>
    <row r="131" spans="1:6" ht="14.25" thickBot="1">
      <c r="A131" s="1531" t="s">
        <v>201</v>
      </c>
      <c r="B131" s="1525" t="s">
        <v>1419</v>
      </c>
      <c r="C131" s="2120">
        <v>0.127</v>
      </c>
      <c r="D131" s="2120">
        <v>0.126</v>
      </c>
      <c r="E131" s="2120">
        <v>0.123</v>
      </c>
      <c r="F131" s="2132"/>
    </row>
    <row r="132" spans="1:6" ht="14.25" thickBot="1">
      <c r="A132" s="1531" t="s">
        <v>201</v>
      </c>
      <c r="B132" s="1525" t="s">
        <v>1426</v>
      </c>
      <c r="C132" s="2120">
        <v>9.0999999999999998E-2</v>
      </c>
      <c r="D132" s="2120">
        <v>0.121</v>
      </c>
      <c r="E132" s="2120">
        <v>9.9000000000000005E-2</v>
      </c>
      <c r="F132" s="2132"/>
    </row>
    <row r="133" spans="1:6" ht="14.25" thickBot="1">
      <c r="A133" s="1531" t="s">
        <v>201</v>
      </c>
      <c r="B133" s="1525" t="s">
        <v>1433</v>
      </c>
      <c r="C133" s="2120">
        <v>0.13</v>
      </c>
      <c r="D133" s="2120">
        <v>0.13</v>
      </c>
      <c r="E133" s="2120">
        <v>0.129</v>
      </c>
      <c r="F133" s="2132"/>
    </row>
    <row r="134" spans="1:6" ht="14.25" thickBot="1">
      <c r="A134" s="1531" t="s">
        <v>201</v>
      </c>
      <c r="B134" s="1525" t="s">
        <v>2162</v>
      </c>
      <c r="C134" s="2120">
        <v>6.8000000000000005E-2</v>
      </c>
      <c r="D134" s="2120">
        <v>6.5000000000000002E-2</v>
      </c>
      <c r="E134" s="2120">
        <v>6.5000000000000002E-2</v>
      </c>
      <c r="F134" s="2121">
        <v>0.13</v>
      </c>
    </row>
    <row r="135" spans="1:6" ht="14.25" thickBot="1">
      <c r="A135" s="1531" t="s">
        <v>201</v>
      </c>
      <c r="B135" s="1525" t="s">
        <v>1447</v>
      </c>
      <c r="C135" s="2120">
        <v>0.123</v>
      </c>
      <c r="D135" s="2120">
        <v>0.123</v>
      </c>
      <c r="E135" s="2120">
        <v>0.11</v>
      </c>
      <c r="F135" s="2132"/>
    </row>
    <row r="136" spans="1:6" ht="14.25" thickBot="1">
      <c r="A136" s="1531" t="s">
        <v>201</v>
      </c>
      <c r="B136" s="1525" t="s">
        <v>1454</v>
      </c>
      <c r="C136" s="2120">
        <v>0.13</v>
      </c>
      <c r="D136" s="2120">
        <v>0.13</v>
      </c>
      <c r="E136" s="2120">
        <v>0.125</v>
      </c>
      <c r="F136" s="2132"/>
    </row>
    <row r="137" spans="1:6" ht="14.25" thickBot="1">
      <c r="A137" s="1531" t="s">
        <v>201</v>
      </c>
      <c r="B137" s="1525" t="s">
        <v>1461</v>
      </c>
      <c r="C137" s="2120">
        <v>0.121</v>
      </c>
      <c r="D137" s="2120">
        <v>0.122</v>
      </c>
      <c r="E137" s="2120">
        <v>0.115</v>
      </c>
      <c r="F137" s="2132"/>
    </row>
    <row r="138" spans="1:6" ht="14.25" thickBot="1">
      <c r="A138" s="1531" t="s">
        <v>201</v>
      </c>
      <c r="B138" s="1525" t="s">
        <v>2163</v>
      </c>
      <c r="C138" s="2120">
        <v>0.105</v>
      </c>
      <c r="D138" s="2120">
        <v>0.125</v>
      </c>
      <c r="E138" s="2120">
        <v>0.112</v>
      </c>
      <c r="F138" s="2132"/>
    </row>
    <row r="139" spans="1:6" ht="14.25" thickBot="1">
      <c r="A139" s="1531" t="s">
        <v>201</v>
      </c>
      <c r="B139" s="1525" t="s">
        <v>2164</v>
      </c>
      <c r="C139" s="2120">
        <v>0.127</v>
      </c>
      <c r="D139" s="2120">
        <v>0.127</v>
      </c>
      <c r="E139" s="2120">
        <v>0.122</v>
      </c>
      <c r="F139" s="2121">
        <v>0.13</v>
      </c>
    </row>
    <row r="140" spans="1:6" ht="14.25" thickBot="1">
      <c r="A140" s="1531" t="s">
        <v>201</v>
      </c>
      <c r="B140" s="1525" t="s">
        <v>2165</v>
      </c>
      <c r="C140" s="2120">
        <v>0.125</v>
      </c>
      <c r="D140" s="2120">
        <v>0.125</v>
      </c>
      <c r="E140" s="2120">
        <v>0.11899999999999999</v>
      </c>
      <c r="F140" s="2121">
        <v>0.13</v>
      </c>
    </row>
    <row r="141" spans="1:6" ht="14.25" thickBot="1">
      <c r="A141" s="1531" t="s">
        <v>201</v>
      </c>
      <c r="B141" s="1525" t="s">
        <v>1480</v>
      </c>
      <c r="C141" s="2120">
        <v>0.125</v>
      </c>
      <c r="D141" s="2120">
        <v>0.125</v>
      </c>
      <c r="E141" s="2120">
        <v>0.11700000000000001</v>
      </c>
      <c r="F141" s="2132"/>
    </row>
    <row r="142" spans="1:6" ht="14.25" thickBot="1">
      <c r="A142" s="1531" t="s">
        <v>201</v>
      </c>
      <c r="B142" s="1525" t="s">
        <v>1485</v>
      </c>
      <c r="C142" s="2120">
        <v>0.125</v>
      </c>
      <c r="D142" s="2120">
        <v>0.125</v>
      </c>
      <c r="E142" s="2120">
        <v>0.115</v>
      </c>
      <c r="F142" s="2132"/>
    </row>
    <row r="143" spans="1:6" ht="14.25" thickBot="1">
      <c r="A143" s="1531" t="s">
        <v>201</v>
      </c>
      <c r="B143" s="1525" t="s">
        <v>1490</v>
      </c>
      <c r="C143" s="2120">
        <v>0.121</v>
      </c>
      <c r="D143" s="2120">
        <v>0.121</v>
      </c>
      <c r="E143" s="2120">
        <v>0.108</v>
      </c>
      <c r="F143" s="2132"/>
    </row>
    <row r="144" spans="1:6" ht="14.25" thickBot="1">
      <c r="A144" s="1531" t="s">
        <v>201</v>
      </c>
      <c r="B144" s="2124" t="s">
        <v>2166</v>
      </c>
      <c r="C144" s="2125">
        <v>0.126</v>
      </c>
      <c r="D144" s="2125">
        <v>0.126</v>
      </c>
      <c r="E144" s="2125">
        <v>0.121</v>
      </c>
      <c r="F144" s="2132"/>
    </row>
    <row r="145" spans="1:6" ht="14.25" thickBot="1">
      <c r="A145" s="1541" t="s">
        <v>201</v>
      </c>
      <c r="B145" s="2126" t="s">
        <v>2167</v>
      </c>
      <c r="C145" s="2134"/>
      <c r="D145" s="2134"/>
      <c r="E145" s="2134"/>
      <c r="F145" s="2127">
        <v>0.05</v>
      </c>
    </row>
    <row r="146" spans="1:6" ht="24.75" thickBot="1">
      <c r="A146" s="2128" t="s">
        <v>201</v>
      </c>
      <c r="B146" s="1535" t="s">
        <v>2168</v>
      </c>
      <c r="C146" s="2133"/>
      <c r="D146" s="2133"/>
      <c r="E146" s="2133"/>
      <c r="F146" s="2129">
        <v>0.05</v>
      </c>
    </row>
    <row r="147" spans="1:6" ht="24.75" thickBot="1">
      <c r="A147" s="1531" t="s">
        <v>201</v>
      </c>
      <c r="B147" s="1525" t="s">
        <v>2169</v>
      </c>
      <c r="C147" s="2133"/>
      <c r="D147" s="2133"/>
      <c r="E147" s="2133"/>
      <c r="F147" s="2121">
        <v>0.05</v>
      </c>
    </row>
    <row r="148" spans="1:6" ht="24.75" thickBot="1">
      <c r="A148" s="1531" t="s">
        <v>201</v>
      </c>
      <c r="B148" s="1525" t="s">
        <v>2170</v>
      </c>
      <c r="C148" s="2133"/>
      <c r="D148" s="2133"/>
      <c r="E148" s="2133"/>
      <c r="F148" s="2121">
        <v>0.05</v>
      </c>
    </row>
    <row r="149" spans="1:6" ht="24.75" thickBot="1">
      <c r="A149" s="1531" t="s">
        <v>201</v>
      </c>
      <c r="B149" s="1525" t="s">
        <v>2171</v>
      </c>
      <c r="C149" s="2133"/>
      <c r="D149" s="2133"/>
      <c r="E149" s="2133"/>
      <c r="F149" s="2121">
        <v>0.05</v>
      </c>
    </row>
    <row r="150" spans="1:6" ht="24.75" thickBot="1">
      <c r="A150" s="1531" t="s">
        <v>201</v>
      </c>
      <c r="B150" s="1525" t="s">
        <v>2172</v>
      </c>
      <c r="C150" s="2133"/>
      <c r="D150" s="2133"/>
      <c r="E150" s="2133"/>
      <c r="F150" s="2121">
        <v>0.05</v>
      </c>
    </row>
    <row r="151" spans="1:6" ht="24.75" thickBot="1">
      <c r="A151" s="1531" t="s">
        <v>201</v>
      </c>
      <c r="B151" s="1525" t="s">
        <v>2173</v>
      </c>
      <c r="C151" s="2133"/>
      <c r="D151" s="2133"/>
      <c r="E151" s="2133"/>
      <c r="F151" s="2121">
        <v>0.05</v>
      </c>
    </row>
    <row r="152" spans="1:6" ht="24.75" thickBot="1">
      <c r="A152" s="1531" t="s">
        <v>201</v>
      </c>
      <c r="B152" s="1525" t="s">
        <v>1523</v>
      </c>
      <c r="C152" s="2133"/>
      <c r="D152" s="2133"/>
      <c r="E152" s="2133"/>
      <c r="F152" s="2121">
        <v>0.05</v>
      </c>
    </row>
    <row r="153" spans="1:6" ht="14.25" thickBot="1">
      <c r="A153" s="1531" t="s">
        <v>201</v>
      </c>
      <c r="B153" s="1525" t="s">
        <v>2174</v>
      </c>
      <c r="C153" s="2133"/>
      <c r="D153" s="2133"/>
      <c r="E153" s="2133"/>
      <c r="F153" s="2121">
        <v>0.05</v>
      </c>
    </row>
    <row r="154" spans="1:6" ht="14.25" thickBot="1">
      <c r="A154" s="1531" t="s">
        <v>201</v>
      </c>
      <c r="B154" s="1525" t="s">
        <v>2175</v>
      </c>
      <c r="C154" s="2133"/>
      <c r="D154" s="2133"/>
      <c r="E154" s="2133"/>
      <c r="F154" s="2121">
        <v>0.05</v>
      </c>
    </row>
    <row r="155" spans="1:6" ht="24.75" thickBot="1">
      <c r="A155" s="1531" t="s">
        <v>201</v>
      </c>
      <c r="B155" s="1525" t="s">
        <v>2176</v>
      </c>
      <c r="C155" s="2133"/>
      <c r="D155" s="2133"/>
      <c r="E155" s="2133"/>
      <c r="F155" s="2121">
        <v>0.05</v>
      </c>
    </row>
    <row r="156" spans="1:6" ht="24.75" thickBot="1">
      <c r="A156" s="1531" t="s">
        <v>201</v>
      </c>
      <c r="B156" s="1525" t="s">
        <v>2177</v>
      </c>
      <c r="C156" s="2133"/>
      <c r="D156" s="2133"/>
      <c r="E156" s="2133"/>
      <c r="F156" s="2121">
        <v>0.05</v>
      </c>
    </row>
    <row r="157" spans="1:6" ht="14.25" thickBot="1">
      <c r="A157" s="1541" t="s">
        <v>201</v>
      </c>
      <c r="B157" s="1537" t="s">
        <v>2178</v>
      </c>
      <c r="C157" s="2130"/>
      <c r="D157" s="2130"/>
      <c r="E157" s="2130"/>
      <c r="F157" s="2123">
        <v>0.05</v>
      </c>
    </row>
    <row r="158" spans="1:6" ht="14.25" thickBot="1">
      <c r="A158" s="1531" t="s">
        <v>1542</v>
      </c>
      <c r="B158" s="1532" t="s">
        <v>2179</v>
      </c>
      <c r="C158" s="2118">
        <v>0.13</v>
      </c>
      <c r="D158" s="2118">
        <v>0.13</v>
      </c>
      <c r="E158" s="2118">
        <v>0.13</v>
      </c>
      <c r="F158" s="2119">
        <v>0.13</v>
      </c>
    </row>
    <row r="159" spans="1:6" ht="14.25" thickBot="1">
      <c r="A159" s="1531" t="s">
        <v>1542</v>
      </c>
      <c r="B159" s="1525" t="s">
        <v>1209</v>
      </c>
      <c r="C159" s="2120">
        <v>0.13</v>
      </c>
      <c r="D159" s="2120">
        <v>0.13</v>
      </c>
      <c r="E159" s="2120">
        <v>0.13</v>
      </c>
      <c r="F159" s="2121">
        <v>0.13</v>
      </c>
    </row>
    <row r="160" spans="1:6" ht="14.25" thickBot="1">
      <c r="A160" s="1531" t="s">
        <v>1542</v>
      </c>
      <c r="B160" s="1525" t="s">
        <v>1222</v>
      </c>
      <c r="C160" s="2120">
        <v>0.13</v>
      </c>
      <c r="D160" s="2120">
        <v>0.13</v>
      </c>
      <c r="E160" s="2120">
        <v>0.129</v>
      </c>
      <c r="F160" s="2121">
        <v>0.13</v>
      </c>
    </row>
    <row r="161" spans="1:6" ht="14.25" thickBot="1">
      <c r="A161" s="1531" t="s">
        <v>1542</v>
      </c>
      <c r="B161" s="1525" t="s">
        <v>1235</v>
      </c>
      <c r="C161" s="2120">
        <v>0.128</v>
      </c>
      <c r="D161" s="2120">
        <v>0.128</v>
      </c>
      <c r="E161" s="2120">
        <v>0.125</v>
      </c>
      <c r="F161" s="2121">
        <v>0.13</v>
      </c>
    </row>
    <row r="162" spans="1:6" ht="14.25" thickBot="1">
      <c r="A162" s="1531" t="s">
        <v>1542</v>
      </c>
      <c r="B162" s="1525" t="s">
        <v>1247</v>
      </c>
      <c r="C162" s="2120">
        <v>0.122</v>
      </c>
      <c r="D162" s="2120">
        <v>0.122</v>
      </c>
      <c r="E162" s="2120">
        <v>0.126</v>
      </c>
      <c r="F162" s="2121">
        <v>0.122</v>
      </c>
    </row>
    <row r="163" spans="1:6" ht="14.25" thickBot="1">
      <c r="A163" s="1531" t="s">
        <v>1542</v>
      </c>
      <c r="B163" s="1525" t="s">
        <v>1258</v>
      </c>
      <c r="C163" s="2120">
        <v>0.13</v>
      </c>
      <c r="D163" s="2120">
        <v>0.13</v>
      </c>
      <c r="E163" s="2120">
        <v>0.125</v>
      </c>
      <c r="F163" s="2121">
        <v>0.13</v>
      </c>
    </row>
    <row r="164" spans="1:6" ht="14.25" thickBot="1">
      <c r="A164" s="1531" t="s">
        <v>1542</v>
      </c>
      <c r="B164" s="1525" t="s">
        <v>1269</v>
      </c>
      <c r="C164" s="2120">
        <v>0.13</v>
      </c>
      <c r="D164" s="2120">
        <v>0.13</v>
      </c>
      <c r="E164" s="2120">
        <v>0.13</v>
      </c>
      <c r="F164" s="2121">
        <v>0.13</v>
      </c>
    </row>
    <row r="165" spans="1:6" ht="14.25" thickBot="1">
      <c r="A165" s="1531" t="s">
        <v>1542</v>
      </c>
      <c r="B165" s="1525" t="s">
        <v>1280</v>
      </c>
      <c r="C165" s="2120">
        <v>0.13</v>
      </c>
      <c r="D165" s="2120">
        <v>0.13</v>
      </c>
      <c r="E165" s="2120">
        <v>0.124</v>
      </c>
      <c r="F165" s="2121">
        <v>0.13</v>
      </c>
    </row>
    <row r="166" spans="1:6" ht="14.25" thickBot="1">
      <c r="A166" s="1531" t="s">
        <v>1542</v>
      </c>
      <c r="B166" s="1525" t="s">
        <v>1292</v>
      </c>
      <c r="C166" s="2120">
        <v>0.13</v>
      </c>
      <c r="D166" s="2120">
        <v>0.13</v>
      </c>
      <c r="E166" s="2120">
        <v>0.13</v>
      </c>
      <c r="F166" s="2121">
        <v>0.13</v>
      </c>
    </row>
    <row r="167" spans="1:6" ht="14.25" thickBot="1">
      <c r="A167" s="1531" t="s">
        <v>1542</v>
      </c>
      <c r="B167" s="1525" t="s">
        <v>1302</v>
      </c>
      <c r="C167" s="2120">
        <v>0.125</v>
      </c>
      <c r="D167" s="2120">
        <v>0.125</v>
      </c>
      <c r="E167" s="2120">
        <v>0.121</v>
      </c>
      <c r="F167" s="2132"/>
    </row>
    <row r="168" spans="1:6" ht="14.25" thickBot="1">
      <c r="A168" s="1531" t="s">
        <v>1542</v>
      </c>
      <c r="B168" s="1525" t="s">
        <v>1312</v>
      </c>
      <c r="C168" s="2120">
        <v>0.13</v>
      </c>
      <c r="D168" s="2120">
        <v>0.13</v>
      </c>
      <c r="E168" s="2120">
        <v>0.126</v>
      </c>
      <c r="F168" s="2132"/>
    </row>
    <row r="169" spans="1:6" ht="14.25" thickBot="1">
      <c r="A169" s="1531" t="s">
        <v>1542</v>
      </c>
      <c r="B169" s="1525" t="s">
        <v>1322</v>
      </c>
      <c r="C169" s="2120">
        <v>0.128</v>
      </c>
      <c r="D169" s="2120">
        <v>0.129</v>
      </c>
      <c r="E169" s="2120">
        <v>0.13</v>
      </c>
      <c r="F169" s="2132"/>
    </row>
    <row r="170" spans="1:6" ht="14.25" thickBot="1">
      <c r="A170" s="1531" t="s">
        <v>1542</v>
      </c>
      <c r="B170" s="1525" t="s">
        <v>1332</v>
      </c>
      <c r="C170" s="2120">
        <v>0.14099999999999999</v>
      </c>
      <c r="D170" s="2120">
        <v>0.13</v>
      </c>
      <c r="E170" s="2120">
        <v>0.125</v>
      </c>
      <c r="F170" s="2132"/>
    </row>
    <row r="171" spans="1:6" ht="14.25" thickBot="1">
      <c r="A171" s="1531" t="s">
        <v>1542</v>
      </c>
      <c r="B171" s="1525" t="s">
        <v>2180</v>
      </c>
      <c r="C171" s="2120">
        <v>0.127</v>
      </c>
      <c r="D171" s="2120">
        <v>0.126</v>
      </c>
      <c r="E171" s="2120">
        <v>0.126</v>
      </c>
      <c r="F171" s="2121">
        <v>0.11799999999999999</v>
      </c>
    </row>
    <row r="172" spans="1:6" ht="14.25" thickBot="1">
      <c r="A172" s="1531" t="s">
        <v>1542</v>
      </c>
      <c r="B172" s="1525" t="s">
        <v>2181</v>
      </c>
      <c r="C172" s="2120">
        <v>0.13</v>
      </c>
      <c r="D172" s="2120">
        <v>0.13</v>
      </c>
      <c r="E172" s="2120">
        <v>0.13</v>
      </c>
      <c r="F172" s="2132"/>
    </row>
    <row r="173" spans="1:6" ht="14.25" thickBot="1">
      <c r="A173" s="1531" t="s">
        <v>1542</v>
      </c>
      <c r="B173" s="1525" t="s">
        <v>1364</v>
      </c>
      <c r="C173" s="2120">
        <v>0.13</v>
      </c>
      <c r="D173" s="2120">
        <v>0.13</v>
      </c>
      <c r="E173" s="2120">
        <v>0.13</v>
      </c>
      <c r="F173" s="2132"/>
    </row>
    <row r="174" spans="1:6" ht="14.25" thickBot="1">
      <c r="A174" s="1531" t="s">
        <v>1542</v>
      </c>
      <c r="B174" s="1525" t="s">
        <v>2182</v>
      </c>
      <c r="C174" s="2120">
        <v>0.13</v>
      </c>
      <c r="D174" s="2120">
        <v>0.13</v>
      </c>
      <c r="E174" s="2120">
        <v>0.13</v>
      </c>
      <c r="F174" s="2121">
        <v>0.13</v>
      </c>
    </row>
    <row r="175" spans="1:6" ht="14.25" thickBot="1">
      <c r="A175" s="1531" t="s">
        <v>1542</v>
      </c>
      <c r="B175" s="1525" t="s">
        <v>2183</v>
      </c>
      <c r="C175" s="2120">
        <v>0.13</v>
      </c>
      <c r="D175" s="2120">
        <v>0.13</v>
      </c>
      <c r="E175" s="2120">
        <v>0.13</v>
      </c>
      <c r="F175" s="2121">
        <v>0.13</v>
      </c>
    </row>
    <row r="176" spans="1:6" ht="14.25" thickBot="1">
      <c r="A176" s="1531" t="s">
        <v>1542</v>
      </c>
      <c r="B176" s="1525" t="s">
        <v>1394</v>
      </c>
      <c r="C176" s="2120">
        <v>0.13</v>
      </c>
      <c r="D176" s="2120">
        <v>0.13</v>
      </c>
      <c r="E176" s="2120">
        <v>0.13</v>
      </c>
      <c r="F176" s="2121">
        <v>0.13</v>
      </c>
    </row>
    <row r="177" spans="1:6" ht="14.25" thickBot="1">
      <c r="A177" s="1531" t="s">
        <v>1542</v>
      </c>
      <c r="B177" s="1525" t="s">
        <v>2184</v>
      </c>
      <c r="C177" s="2120">
        <v>0.13</v>
      </c>
      <c r="D177" s="2120">
        <v>0.13</v>
      </c>
      <c r="E177" s="2120">
        <v>0.13</v>
      </c>
      <c r="F177" s="2121">
        <v>0.13</v>
      </c>
    </row>
    <row r="178" spans="1:6" ht="14.25" thickBot="1">
      <c r="A178" s="1531" t="s">
        <v>1542</v>
      </c>
      <c r="B178" s="1525" t="s">
        <v>1412</v>
      </c>
      <c r="C178" s="2120">
        <v>0.13</v>
      </c>
      <c r="D178" s="2120">
        <v>0.13</v>
      </c>
      <c r="E178" s="2120">
        <v>0.13</v>
      </c>
      <c r="F178" s="2121">
        <v>0.127</v>
      </c>
    </row>
    <row r="179" spans="1:6" ht="14.25" thickBot="1">
      <c r="A179" s="1531" t="s">
        <v>1542</v>
      </c>
      <c r="B179" s="1525" t="s">
        <v>1420</v>
      </c>
      <c r="C179" s="2120">
        <v>0.13</v>
      </c>
      <c r="D179" s="2120">
        <v>0.13</v>
      </c>
      <c r="E179" s="2120">
        <v>0.13</v>
      </c>
      <c r="F179" s="2132"/>
    </row>
    <row r="180" spans="1:6" ht="14.25" thickBot="1">
      <c r="A180" s="1531" t="s">
        <v>1542</v>
      </c>
      <c r="B180" s="1525" t="s">
        <v>2185</v>
      </c>
      <c r="C180" s="2120">
        <v>0.13</v>
      </c>
      <c r="D180" s="2120">
        <v>0.13</v>
      </c>
      <c r="E180" s="2120">
        <v>0.125</v>
      </c>
      <c r="F180" s="2121">
        <v>0.13</v>
      </c>
    </row>
    <row r="181" spans="1:6" ht="14.25" thickBot="1">
      <c r="A181" s="1531" t="s">
        <v>1542</v>
      </c>
      <c r="B181" s="1525" t="s">
        <v>1434</v>
      </c>
      <c r="C181" s="2120">
        <v>0.122</v>
      </c>
      <c r="D181" s="2120">
        <v>0.123</v>
      </c>
      <c r="E181" s="2120">
        <v>0.126</v>
      </c>
      <c r="F181" s="2121">
        <v>0.121</v>
      </c>
    </row>
    <row r="182" spans="1:6" ht="14.25" thickBot="1">
      <c r="A182" s="1531" t="s">
        <v>1542</v>
      </c>
      <c r="B182" s="1525" t="s">
        <v>1441</v>
      </c>
      <c r="C182" s="2120">
        <v>0.125</v>
      </c>
      <c r="D182" s="2120">
        <v>0.125</v>
      </c>
      <c r="E182" s="2120">
        <v>0.11700000000000001</v>
      </c>
      <c r="F182" s="2121">
        <v>0.13</v>
      </c>
    </row>
    <row r="183" spans="1:6" ht="14.25" thickBot="1">
      <c r="A183" s="1531" t="s">
        <v>1542</v>
      </c>
      <c r="B183" s="1525" t="s">
        <v>1448</v>
      </c>
      <c r="C183" s="2120">
        <v>0.127</v>
      </c>
      <c r="D183" s="2120">
        <v>0.127</v>
      </c>
      <c r="E183" s="2120">
        <v>0.128</v>
      </c>
      <c r="F183" s="2132"/>
    </row>
    <row r="184" spans="1:6" ht="14.25" thickBot="1">
      <c r="A184" s="1531" t="s">
        <v>1542</v>
      </c>
      <c r="B184" s="1525" t="s">
        <v>1455</v>
      </c>
      <c r="C184" s="2120">
        <v>0.125</v>
      </c>
      <c r="D184" s="2120">
        <v>0.125</v>
      </c>
      <c r="E184" s="2120">
        <v>0.127</v>
      </c>
      <c r="F184" s="2132"/>
    </row>
    <row r="185" spans="1:6" ht="14.25" thickBot="1">
      <c r="A185" s="1531" t="s">
        <v>1542</v>
      </c>
      <c r="B185" s="1525" t="s">
        <v>2186</v>
      </c>
      <c r="C185" s="2120">
        <v>0.127</v>
      </c>
      <c r="D185" s="2120">
        <v>0.127</v>
      </c>
      <c r="E185" s="2120">
        <v>0.128</v>
      </c>
      <c r="F185" s="2121">
        <v>0.13</v>
      </c>
    </row>
    <row r="186" spans="1:6" ht="24.75" thickBot="1">
      <c r="A186" s="1531" t="s">
        <v>1542</v>
      </c>
      <c r="B186" s="1525" t="s">
        <v>2187</v>
      </c>
      <c r="C186" s="2133"/>
      <c r="D186" s="2133"/>
      <c r="E186" s="2133"/>
      <c r="F186" s="2121">
        <v>0.05</v>
      </c>
    </row>
    <row r="187" spans="1:6" ht="14.25" thickBot="1">
      <c r="A187" s="1531" t="s">
        <v>1542</v>
      </c>
      <c r="B187" s="1525" t="s">
        <v>2188</v>
      </c>
      <c r="C187" s="2133"/>
      <c r="D187" s="2133"/>
      <c r="E187" s="2133"/>
      <c r="F187" s="2121">
        <v>0.05</v>
      </c>
    </row>
    <row r="188" spans="1:6" ht="14.25" thickBot="1">
      <c r="A188" s="1531" t="s">
        <v>1542</v>
      </c>
      <c r="B188" s="1525" t="s">
        <v>2189</v>
      </c>
      <c r="C188" s="2133"/>
      <c r="D188" s="2133"/>
      <c r="E188" s="2133"/>
      <c r="F188" s="2121">
        <v>0.05</v>
      </c>
    </row>
    <row r="189" spans="1:6" ht="24.75" thickBot="1">
      <c r="A189" s="1531" t="s">
        <v>1542</v>
      </c>
      <c r="B189" s="1525" t="s">
        <v>2190</v>
      </c>
      <c r="C189" s="2133"/>
      <c r="D189" s="2133"/>
      <c r="E189" s="2133"/>
      <c r="F189" s="2121">
        <v>0.05</v>
      </c>
    </row>
    <row r="190" spans="1:6" ht="24.75" thickBot="1">
      <c r="A190" s="1531" t="s">
        <v>1542</v>
      </c>
      <c r="B190" s="1525" t="s">
        <v>2191</v>
      </c>
      <c r="C190" s="2133"/>
      <c r="D190" s="2133"/>
      <c r="E190" s="2133"/>
      <c r="F190" s="2121">
        <v>0.05</v>
      </c>
    </row>
    <row r="191" spans="1:6" ht="24.75" thickBot="1">
      <c r="A191" s="1531" t="s">
        <v>1542</v>
      </c>
      <c r="B191" s="1525" t="s">
        <v>2192</v>
      </c>
      <c r="C191" s="2133"/>
      <c r="D191" s="2133"/>
      <c r="E191" s="2133"/>
      <c r="F191" s="2121">
        <v>0.05</v>
      </c>
    </row>
    <row r="192" spans="1:6" ht="24.75" thickBot="1">
      <c r="A192" s="1531" t="s">
        <v>1542</v>
      </c>
      <c r="B192" s="1525" t="s">
        <v>2193</v>
      </c>
      <c r="C192" s="2133"/>
      <c r="D192" s="2133"/>
      <c r="E192" s="2133"/>
      <c r="F192" s="2121">
        <v>0.05</v>
      </c>
    </row>
    <row r="193" spans="1:6" ht="24.75" thickBot="1">
      <c r="A193" s="1531" t="s">
        <v>1542</v>
      </c>
      <c r="B193" s="1525" t="s">
        <v>2194</v>
      </c>
      <c r="C193" s="2133"/>
      <c r="D193" s="2133"/>
      <c r="E193" s="2133"/>
      <c r="F193" s="2121">
        <v>0.05</v>
      </c>
    </row>
    <row r="194" spans="1:6" ht="24.75" thickBot="1">
      <c r="A194" s="1531" t="s">
        <v>1542</v>
      </c>
      <c r="B194" s="1525" t="s">
        <v>2195</v>
      </c>
      <c r="C194" s="2133"/>
      <c r="D194" s="2133"/>
      <c r="E194" s="2133"/>
      <c r="F194" s="2121">
        <v>0.05</v>
      </c>
    </row>
    <row r="195" spans="1:6" ht="14.25" thickBot="1">
      <c r="A195" s="1531" t="s">
        <v>1542</v>
      </c>
      <c r="B195" s="1525" t="s">
        <v>2196</v>
      </c>
      <c r="C195" s="2133"/>
      <c r="D195" s="2133"/>
      <c r="E195" s="2133"/>
      <c r="F195" s="2121">
        <v>0.05</v>
      </c>
    </row>
    <row r="196" spans="1:6" ht="24.75" thickBot="1">
      <c r="A196" s="1531" t="s">
        <v>1542</v>
      </c>
      <c r="B196" s="1525" t="s">
        <v>2197</v>
      </c>
      <c r="C196" s="2133"/>
      <c r="D196" s="2133"/>
      <c r="E196" s="2133"/>
      <c r="F196" s="2121">
        <v>0.05</v>
      </c>
    </row>
    <row r="197" spans="1:6" ht="24.75" thickBot="1">
      <c r="A197" s="1531" t="s">
        <v>1542</v>
      </c>
      <c r="B197" s="1525" t="s">
        <v>2198</v>
      </c>
      <c r="C197" s="2133"/>
      <c r="D197" s="2133"/>
      <c r="E197" s="2133"/>
      <c r="F197" s="2121">
        <v>0.05</v>
      </c>
    </row>
    <row r="198" spans="1:6" ht="24.75" thickBot="1">
      <c r="A198" s="1531" t="s">
        <v>1542</v>
      </c>
      <c r="B198" s="1525" t="s">
        <v>2199</v>
      </c>
      <c r="C198" s="2133"/>
      <c r="D198" s="2133"/>
      <c r="E198" s="2133"/>
      <c r="F198" s="2121">
        <v>0.05</v>
      </c>
    </row>
    <row r="199" spans="1:6" ht="24.75" thickBot="1">
      <c r="A199" s="1531" t="s">
        <v>1542</v>
      </c>
      <c r="B199" s="1525" t="s">
        <v>2200</v>
      </c>
      <c r="C199" s="2133"/>
      <c r="D199" s="2133"/>
      <c r="E199" s="2133"/>
      <c r="F199" s="2121">
        <v>0.05</v>
      </c>
    </row>
    <row r="200" spans="1:6" ht="24.75" thickBot="1">
      <c r="A200" s="1531" t="s">
        <v>1542</v>
      </c>
      <c r="B200" s="1525" t="s">
        <v>2201</v>
      </c>
      <c r="C200" s="2133"/>
      <c r="D200" s="2133"/>
      <c r="E200" s="2133"/>
      <c r="F200" s="2121">
        <v>0.05</v>
      </c>
    </row>
    <row r="201" spans="1:6" ht="24.75" thickBot="1">
      <c r="A201" s="1531" t="s">
        <v>1542</v>
      </c>
      <c r="B201" s="1525" t="s">
        <v>2202</v>
      </c>
      <c r="C201" s="2133"/>
      <c r="D201" s="2133"/>
      <c r="E201" s="2133"/>
      <c r="F201" s="2121">
        <v>0.05</v>
      </c>
    </row>
    <row r="202" spans="1:6" ht="24.75" thickBot="1">
      <c r="A202" s="1531" t="s">
        <v>1542</v>
      </c>
      <c r="B202" s="1525" t="s">
        <v>2203</v>
      </c>
      <c r="C202" s="2133"/>
      <c r="D202" s="2133"/>
      <c r="E202" s="2133"/>
      <c r="F202" s="2121">
        <v>0.05</v>
      </c>
    </row>
    <row r="203" spans="1:6" ht="24.75" thickBot="1">
      <c r="A203" s="1531" t="s">
        <v>1542</v>
      </c>
      <c r="B203" s="1525" t="s">
        <v>2204</v>
      </c>
      <c r="C203" s="2133"/>
      <c r="D203" s="2133"/>
      <c r="E203" s="2133"/>
      <c r="F203" s="2121">
        <v>0.05</v>
      </c>
    </row>
    <row r="204" spans="1:6" ht="14.25" thickBot="1">
      <c r="A204" s="1531" t="s">
        <v>1542</v>
      </c>
      <c r="B204" s="1525" t="s">
        <v>2205</v>
      </c>
      <c r="C204" s="2133"/>
      <c r="D204" s="2133"/>
      <c r="E204" s="2133"/>
      <c r="F204" s="2121">
        <v>0.05</v>
      </c>
    </row>
    <row r="205" spans="1:6" ht="14.25" thickBot="1">
      <c r="A205" s="1541" t="s">
        <v>1542</v>
      </c>
      <c r="B205" s="1537" t="s">
        <v>2206</v>
      </c>
      <c r="C205" s="2130"/>
      <c r="D205" s="2130"/>
      <c r="E205" s="2130"/>
      <c r="F205" s="2123">
        <v>0.05</v>
      </c>
    </row>
    <row r="206" spans="1:6" ht="14.25" thickBot="1">
      <c r="A206" s="1531" t="s">
        <v>1544</v>
      </c>
      <c r="B206" s="1532" t="s">
        <v>2207</v>
      </c>
      <c r="C206" s="2118">
        <v>0.15</v>
      </c>
      <c r="D206" s="2118">
        <v>0.15</v>
      </c>
      <c r="E206" s="2118">
        <v>0.15</v>
      </c>
      <c r="F206" s="2119">
        <v>0.15</v>
      </c>
    </row>
    <row r="207" spans="1:6" ht="14.25" thickBot="1">
      <c r="A207" s="1531" t="s">
        <v>1544</v>
      </c>
      <c r="B207" s="1525" t="s">
        <v>1210</v>
      </c>
      <c r="C207" s="2120">
        <v>0.15</v>
      </c>
      <c r="D207" s="2120">
        <v>0.15</v>
      </c>
      <c r="E207" s="2120">
        <v>0.15</v>
      </c>
      <c r="F207" s="2121">
        <v>0.14399999999999999</v>
      </c>
    </row>
    <row r="208" spans="1:6" ht="14.25" thickBot="1">
      <c r="A208" s="1531" t="s">
        <v>1544</v>
      </c>
      <c r="B208" s="1525" t="s">
        <v>1223</v>
      </c>
      <c r="C208" s="2120">
        <v>0.15</v>
      </c>
      <c r="D208" s="2120">
        <v>0.15</v>
      </c>
      <c r="E208" s="2120">
        <v>0.15</v>
      </c>
      <c r="F208" s="2121">
        <v>0.15</v>
      </c>
    </row>
    <row r="209" spans="1:6" ht="14.25" thickBot="1">
      <c r="A209" s="1531" t="s">
        <v>1544</v>
      </c>
      <c r="B209" s="1525" t="s">
        <v>1236</v>
      </c>
      <c r="C209" s="2120">
        <v>0.13700000000000001</v>
      </c>
      <c r="D209" s="2120">
        <v>0.13700000000000001</v>
      </c>
      <c r="E209" s="2120">
        <v>0.14000000000000001</v>
      </c>
      <c r="F209" s="2121">
        <v>0.11700000000000001</v>
      </c>
    </row>
    <row r="210" spans="1:6" ht="14.25" thickBot="1">
      <c r="A210" s="1531" t="s">
        <v>1544</v>
      </c>
      <c r="B210" s="1525" t="s">
        <v>2208</v>
      </c>
      <c r="C210" s="2120">
        <v>0.15</v>
      </c>
      <c r="D210" s="2120">
        <v>0.15</v>
      </c>
      <c r="E210" s="2120">
        <v>0.15</v>
      </c>
      <c r="F210" s="2121">
        <v>0.13800000000000001</v>
      </c>
    </row>
    <row r="211" spans="1:6" ht="14.25" thickBot="1">
      <c r="A211" s="1531" t="s">
        <v>1544</v>
      </c>
      <c r="B211" s="1525" t="s">
        <v>2209</v>
      </c>
      <c r="C211" s="2120">
        <v>0.13700000000000001</v>
      </c>
      <c r="D211" s="2120">
        <v>0.13500000000000001</v>
      </c>
      <c r="E211" s="2120">
        <v>0.13600000000000001</v>
      </c>
      <c r="F211" s="2121">
        <v>0.1</v>
      </c>
    </row>
    <row r="212" spans="1:6" ht="14.25" thickBot="1">
      <c r="A212" s="1531" t="s">
        <v>1544</v>
      </c>
      <c r="B212" s="1525" t="s">
        <v>2210</v>
      </c>
      <c r="C212" s="2120">
        <v>0.15</v>
      </c>
      <c r="D212" s="2120">
        <v>0.15</v>
      </c>
      <c r="E212" s="2120">
        <v>0.14799999999999999</v>
      </c>
      <c r="F212" s="2121">
        <v>0.13600000000000001</v>
      </c>
    </row>
    <row r="213" spans="1:6" ht="14.25" thickBot="1">
      <c r="A213" s="1531" t="s">
        <v>1544</v>
      </c>
      <c r="B213" s="1525" t="s">
        <v>1281</v>
      </c>
      <c r="C213" s="2120">
        <v>0.15</v>
      </c>
      <c r="D213" s="2120">
        <v>0.15</v>
      </c>
      <c r="E213" s="2120">
        <v>0.15</v>
      </c>
      <c r="F213" s="2121">
        <v>0.13800000000000001</v>
      </c>
    </row>
    <row r="214" spans="1:6" ht="14.25" thickBot="1">
      <c r="A214" s="1531" t="s">
        <v>1544</v>
      </c>
      <c r="B214" s="1525" t="s">
        <v>1293</v>
      </c>
      <c r="C214" s="2120">
        <v>9.0999999999999998E-2</v>
      </c>
      <c r="D214" s="2120">
        <v>0.09</v>
      </c>
      <c r="E214" s="2120">
        <v>9.1999999999999998E-2</v>
      </c>
      <c r="F214" s="2132"/>
    </row>
    <row r="215" spans="1:6" ht="14.25" thickBot="1">
      <c r="A215" s="1531" t="s">
        <v>1544</v>
      </c>
      <c r="B215" s="1525" t="s">
        <v>2211</v>
      </c>
      <c r="C215" s="2120">
        <v>0.15</v>
      </c>
      <c r="D215" s="2120">
        <v>0.15</v>
      </c>
      <c r="E215" s="2120">
        <v>0.15</v>
      </c>
      <c r="F215" s="2121">
        <v>0.15</v>
      </c>
    </row>
    <row r="216" spans="1:6" ht="14.25" thickBot="1">
      <c r="A216" s="1531" t="s">
        <v>1544</v>
      </c>
      <c r="B216" s="1525" t="s">
        <v>1313</v>
      </c>
      <c r="C216" s="2120">
        <v>0.14699999999999999</v>
      </c>
      <c r="D216" s="2120">
        <v>0.14699999999999999</v>
      </c>
      <c r="E216" s="2120">
        <v>0.15</v>
      </c>
      <c r="F216" s="2121">
        <v>0.14000000000000001</v>
      </c>
    </row>
    <row r="217" spans="1:6" ht="14.25" thickBot="1">
      <c r="A217" s="1531" t="s">
        <v>1544</v>
      </c>
      <c r="B217" s="1525" t="s">
        <v>1323</v>
      </c>
      <c r="C217" s="2120">
        <v>0.15</v>
      </c>
      <c r="D217" s="2120">
        <v>0.15</v>
      </c>
      <c r="E217" s="2120">
        <v>0.15</v>
      </c>
      <c r="F217" s="2121">
        <v>0.15</v>
      </c>
    </row>
    <row r="218" spans="1:6" ht="14.25" thickBot="1">
      <c r="A218" s="1531" t="s">
        <v>1544</v>
      </c>
      <c r="B218" s="1525" t="s">
        <v>2212</v>
      </c>
      <c r="C218" s="2120">
        <v>0.15</v>
      </c>
      <c r="D218" s="2120">
        <v>0.15</v>
      </c>
      <c r="E218" s="2120">
        <v>0.15</v>
      </c>
      <c r="F218" s="2121">
        <v>0.15</v>
      </c>
    </row>
    <row r="219" spans="1:6" ht="14.25" thickBot="1">
      <c r="A219" s="1531" t="s">
        <v>1544</v>
      </c>
      <c r="B219" s="1525" t="s">
        <v>1344</v>
      </c>
      <c r="C219" s="2120">
        <v>0.15</v>
      </c>
      <c r="D219" s="2120">
        <v>0.15</v>
      </c>
      <c r="E219" s="2120">
        <v>0.15</v>
      </c>
      <c r="F219" s="2121">
        <v>0.14799999999999999</v>
      </c>
    </row>
    <row r="220" spans="1:6" ht="14.25" thickBot="1">
      <c r="A220" s="1531" t="s">
        <v>1544</v>
      </c>
      <c r="B220" s="1525" t="s">
        <v>2213</v>
      </c>
      <c r="C220" s="2120">
        <v>0.15</v>
      </c>
      <c r="D220" s="2120">
        <v>0.15</v>
      </c>
      <c r="E220" s="2120">
        <v>0.15</v>
      </c>
      <c r="F220" s="2121">
        <v>0.15</v>
      </c>
    </row>
    <row r="221" spans="1:6" ht="14.25" thickBot="1">
      <c r="A221" s="1531" t="s">
        <v>1544</v>
      </c>
      <c r="B221" s="1525" t="s">
        <v>1365</v>
      </c>
      <c r="C221" s="2120"/>
      <c r="D221" s="2133"/>
      <c r="E221" s="2133"/>
      <c r="F221" s="2121">
        <v>0.14799999999999999</v>
      </c>
    </row>
    <row r="222" spans="1:6" ht="14.25" thickBot="1">
      <c r="A222" s="1531" t="s">
        <v>1544</v>
      </c>
      <c r="B222" s="1525" t="s">
        <v>1375</v>
      </c>
      <c r="C222" s="2120"/>
      <c r="D222" s="2133"/>
      <c r="E222" s="2133"/>
      <c r="F222" s="2121">
        <v>0.1</v>
      </c>
    </row>
    <row r="223" spans="1:6" ht="14.25" thickBot="1">
      <c r="A223" s="1531" t="s">
        <v>1544</v>
      </c>
      <c r="B223" s="1525" t="s">
        <v>1385</v>
      </c>
      <c r="C223" s="2120"/>
      <c r="D223" s="2133"/>
      <c r="E223" s="2133"/>
      <c r="F223" s="2121">
        <v>0.15</v>
      </c>
    </row>
    <row r="224" spans="1:6" ht="14.25" thickBot="1">
      <c r="A224" s="1531" t="s">
        <v>1544</v>
      </c>
      <c r="B224" s="1525" t="s">
        <v>1395</v>
      </c>
      <c r="C224" s="2120"/>
      <c r="D224" s="2133"/>
      <c r="E224" s="2133"/>
      <c r="F224" s="2121">
        <v>0.15</v>
      </c>
    </row>
    <row r="225" spans="1:6" ht="14.25" thickBot="1">
      <c r="A225" s="1531" t="s">
        <v>1544</v>
      </c>
      <c r="B225" s="1525" t="s">
        <v>2214</v>
      </c>
      <c r="C225" s="2120">
        <v>0.15</v>
      </c>
      <c r="D225" s="2120">
        <v>0.15</v>
      </c>
      <c r="E225" s="2120">
        <v>0.15</v>
      </c>
      <c r="F225" s="2121">
        <v>0.15</v>
      </c>
    </row>
    <row r="226" spans="1:6" ht="14.25" thickBot="1">
      <c r="A226" s="1531" t="s">
        <v>1544</v>
      </c>
      <c r="B226" s="1525" t="s">
        <v>1413</v>
      </c>
      <c r="C226" s="2120">
        <v>0.15</v>
      </c>
      <c r="D226" s="2120">
        <v>0.15</v>
      </c>
      <c r="E226" s="2120">
        <v>0.15</v>
      </c>
      <c r="F226" s="2121">
        <v>0.14799999999999999</v>
      </c>
    </row>
    <row r="227" spans="1:6" ht="14.25" thickBot="1">
      <c r="A227" s="1531" t="s">
        <v>1544</v>
      </c>
      <c r="B227" s="1525" t="s">
        <v>2215</v>
      </c>
      <c r="C227" s="2120">
        <v>0.15</v>
      </c>
      <c r="D227" s="2120">
        <v>0.15</v>
      </c>
      <c r="E227" s="2120">
        <v>0.15</v>
      </c>
      <c r="F227" s="2121">
        <v>0.15</v>
      </c>
    </row>
    <row r="228" spans="1:6" ht="14.25" thickBot="1">
      <c r="A228" s="1531" t="s">
        <v>1544</v>
      </c>
      <c r="B228" s="1525" t="s">
        <v>1428</v>
      </c>
      <c r="C228" s="2120">
        <v>0.15</v>
      </c>
      <c r="D228" s="2120">
        <v>0.15</v>
      </c>
      <c r="E228" s="2120">
        <v>0.15</v>
      </c>
      <c r="F228" s="2121">
        <v>0.15</v>
      </c>
    </row>
    <row r="229" spans="1:6" ht="14.25" thickBot="1">
      <c r="A229" s="1531" t="s">
        <v>1544</v>
      </c>
      <c r="B229" s="1525" t="s">
        <v>1435</v>
      </c>
      <c r="C229" s="2120">
        <v>0.15</v>
      </c>
      <c r="D229" s="2120">
        <v>0.15</v>
      </c>
      <c r="E229" s="2120">
        <v>0.15</v>
      </c>
      <c r="F229" s="2132"/>
    </row>
    <row r="230" spans="1:6" ht="14.25" thickBot="1">
      <c r="A230" s="1531" t="s">
        <v>1544</v>
      </c>
      <c r="B230" s="1525" t="s">
        <v>1442</v>
      </c>
      <c r="C230" s="2120">
        <v>0.14499999999999999</v>
      </c>
      <c r="D230" s="2120">
        <v>0.14499999999999999</v>
      </c>
      <c r="E230" s="2120">
        <v>0.14399999999999999</v>
      </c>
      <c r="F230" s="2132"/>
    </row>
    <row r="231" spans="1:6" ht="14.25" thickBot="1">
      <c r="A231" s="1531" t="s">
        <v>1544</v>
      </c>
      <c r="B231" s="1525" t="s">
        <v>2216</v>
      </c>
      <c r="C231" s="2120">
        <v>0.128</v>
      </c>
      <c r="D231" s="2120">
        <v>0.125</v>
      </c>
      <c r="E231" s="2120">
        <v>0.13200000000000001</v>
      </c>
      <c r="F231" s="2132"/>
    </row>
    <row r="232" spans="1:6" ht="14.25" thickBot="1">
      <c r="A232" s="1531" t="s">
        <v>1544</v>
      </c>
      <c r="B232" s="1525" t="s">
        <v>2217</v>
      </c>
      <c r="C232" s="2120">
        <v>0.14499999999999999</v>
      </c>
      <c r="D232" s="2120">
        <v>0.14399999999999999</v>
      </c>
      <c r="E232" s="2120">
        <v>0.14599999999999999</v>
      </c>
      <c r="F232" s="2121">
        <v>0.13800000000000001</v>
      </c>
    </row>
    <row r="233" spans="1:6" ht="14.25" thickBot="1">
      <c r="A233" s="1531" t="s">
        <v>1544</v>
      </c>
      <c r="B233" s="1525" t="s">
        <v>2218</v>
      </c>
      <c r="C233" s="2120">
        <v>0.14499999999999999</v>
      </c>
      <c r="D233" s="2120">
        <v>0.14299999999999999</v>
      </c>
      <c r="E233" s="2120">
        <v>0.14199999999999999</v>
      </c>
      <c r="F233" s="2132"/>
    </row>
    <row r="234" spans="1:6" ht="14.25" thickBot="1">
      <c r="A234" s="1531" t="s">
        <v>1544</v>
      </c>
      <c r="B234" s="1525" t="s">
        <v>2219</v>
      </c>
      <c r="C234" s="2120">
        <v>0.14000000000000001</v>
      </c>
      <c r="D234" s="2120">
        <v>0.14000000000000001</v>
      </c>
      <c r="E234" s="2120">
        <v>0.14399999999999999</v>
      </c>
      <c r="F234" s="2132"/>
    </row>
    <row r="235" spans="1:6" ht="14.25" thickBot="1">
      <c r="A235" s="1531" t="s">
        <v>1544</v>
      </c>
      <c r="B235" s="1525" t="s">
        <v>2220</v>
      </c>
      <c r="C235" s="2120">
        <v>0.14099999999999999</v>
      </c>
      <c r="D235" s="2120">
        <v>0.14199999999999999</v>
      </c>
      <c r="E235" s="2120">
        <v>0.14499999999999999</v>
      </c>
      <c r="F235" s="2121">
        <v>0.15</v>
      </c>
    </row>
    <row r="236" spans="1:6" ht="14.25" thickBot="1">
      <c r="A236" s="1531" t="s">
        <v>1544</v>
      </c>
      <c r="B236" s="1525" t="s">
        <v>1477</v>
      </c>
      <c r="C236" s="2133"/>
      <c r="D236" s="2133"/>
      <c r="E236" s="2133"/>
      <c r="F236" s="2121">
        <v>0.14299999999999999</v>
      </c>
    </row>
    <row r="237" spans="1:6" ht="24.75" thickBot="1">
      <c r="A237" s="1531" t="s">
        <v>1544</v>
      </c>
      <c r="B237" s="1525" t="s">
        <v>2221</v>
      </c>
      <c r="C237" s="2133"/>
      <c r="D237" s="2133"/>
      <c r="E237" s="2133"/>
      <c r="F237" s="2121">
        <v>0.05</v>
      </c>
    </row>
    <row r="238" spans="1:6" ht="24.75" thickBot="1">
      <c r="A238" s="1531" t="s">
        <v>1544</v>
      </c>
      <c r="B238" s="1525" t="s">
        <v>2222</v>
      </c>
      <c r="C238" s="2133"/>
      <c r="D238" s="2133"/>
      <c r="E238" s="2133"/>
      <c r="F238" s="2121">
        <v>0.05</v>
      </c>
    </row>
    <row r="239" spans="1:6" ht="24.75" thickBot="1">
      <c r="A239" s="1531" t="s">
        <v>1544</v>
      </c>
      <c r="B239" s="1525" t="s">
        <v>2223</v>
      </c>
      <c r="C239" s="2133"/>
      <c r="D239" s="2133"/>
      <c r="E239" s="2133"/>
      <c r="F239" s="2121">
        <v>0.05</v>
      </c>
    </row>
    <row r="240" spans="1:6" ht="24.75" thickBot="1">
      <c r="A240" s="1531" t="s">
        <v>1544</v>
      </c>
      <c r="B240" s="1525" t="s">
        <v>2224</v>
      </c>
      <c r="C240" s="2133"/>
      <c r="D240" s="2133"/>
      <c r="E240" s="2133"/>
      <c r="F240" s="2121">
        <v>0.05</v>
      </c>
    </row>
    <row r="241" spans="1:6" ht="24.75" thickBot="1">
      <c r="A241" s="1531" t="s">
        <v>1544</v>
      </c>
      <c r="B241" s="1525" t="s">
        <v>2225</v>
      </c>
      <c r="C241" s="2133"/>
      <c r="D241" s="2133"/>
      <c r="E241" s="2133"/>
      <c r="F241" s="2121">
        <v>0.05</v>
      </c>
    </row>
    <row r="242" spans="1:6" ht="24.75" thickBot="1">
      <c r="A242" s="1531" t="s">
        <v>1544</v>
      </c>
      <c r="B242" s="1525" t="s">
        <v>2226</v>
      </c>
      <c r="C242" s="2133"/>
      <c r="D242" s="2133"/>
      <c r="E242" s="2133"/>
      <c r="F242" s="2121">
        <v>0.05</v>
      </c>
    </row>
    <row r="243" spans="1:6" ht="24.75" thickBot="1">
      <c r="A243" s="1531" t="s">
        <v>1544</v>
      </c>
      <c r="B243" s="1525" t="s">
        <v>2227</v>
      </c>
      <c r="C243" s="2133"/>
      <c r="D243" s="2133"/>
      <c r="E243" s="2133"/>
      <c r="F243" s="2121">
        <v>0.05</v>
      </c>
    </row>
    <row r="244" spans="1:6" ht="24.75" thickBot="1">
      <c r="A244" s="1541" t="s">
        <v>1544</v>
      </c>
      <c r="B244" s="1537" t="s">
        <v>2228</v>
      </c>
      <c r="C244" s="2130"/>
      <c r="D244" s="2130"/>
      <c r="E244" s="2130"/>
      <c r="F244" s="2123">
        <v>0.05</v>
      </c>
    </row>
    <row r="245" spans="1:6" ht="14.25" thickBot="1">
      <c r="A245" s="1531" t="s">
        <v>1546</v>
      </c>
      <c r="B245" s="1532" t="s">
        <v>2229</v>
      </c>
      <c r="C245" s="2118">
        <v>0.15</v>
      </c>
      <c r="D245" s="2118">
        <v>0.15</v>
      </c>
      <c r="E245" s="2118">
        <v>0.15</v>
      </c>
      <c r="F245" s="2119">
        <v>0.14299999999999999</v>
      </c>
    </row>
    <row r="246" spans="1:6" ht="14.25" thickBot="1">
      <c r="A246" s="1531" t="s">
        <v>1546</v>
      </c>
      <c r="B246" s="1525" t="s">
        <v>1211</v>
      </c>
      <c r="C246" s="2120">
        <v>0.15</v>
      </c>
      <c r="D246" s="2120">
        <v>0.15</v>
      </c>
      <c r="E246" s="2120">
        <v>0.15</v>
      </c>
      <c r="F246" s="2121">
        <v>0.114</v>
      </c>
    </row>
    <row r="247" spans="1:6" ht="14.25" thickBot="1">
      <c r="A247" s="1531" t="s">
        <v>1546</v>
      </c>
      <c r="B247" s="1525" t="s">
        <v>2230</v>
      </c>
      <c r="C247" s="2120">
        <v>0.15</v>
      </c>
      <c r="D247" s="2120">
        <v>0.15</v>
      </c>
      <c r="E247" s="2120">
        <v>0.15</v>
      </c>
      <c r="F247" s="2121">
        <v>0.15</v>
      </c>
    </row>
    <row r="248" spans="1:6" ht="14.25" thickBot="1">
      <c r="A248" s="1531" t="s">
        <v>1546</v>
      </c>
      <c r="B248" s="1525" t="s">
        <v>2231</v>
      </c>
      <c r="C248" s="2120">
        <v>0.15</v>
      </c>
      <c r="D248" s="2120">
        <v>0.15</v>
      </c>
      <c r="E248" s="2120">
        <v>0.15</v>
      </c>
      <c r="F248" s="2121">
        <v>0.14000000000000001</v>
      </c>
    </row>
    <row r="249" spans="1:6" ht="14.25" thickBot="1">
      <c r="A249" s="1531" t="s">
        <v>1546</v>
      </c>
      <c r="B249" s="1525" t="s">
        <v>2232</v>
      </c>
      <c r="C249" s="2120">
        <v>0.15</v>
      </c>
      <c r="D249" s="2120">
        <v>0.14899999999999999</v>
      </c>
      <c r="E249" s="2120">
        <v>0.15</v>
      </c>
      <c r="F249" s="2121">
        <v>0.1</v>
      </c>
    </row>
    <row r="250" spans="1:6" ht="14.25" thickBot="1">
      <c r="A250" s="1531" t="s">
        <v>1546</v>
      </c>
      <c r="B250" s="1525" t="s">
        <v>2233</v>
      </c>
      <c r="C250" s="2120">
        <v>0.15</v>
      </c>
      <c r="D250" s="2120">
        <v>0.15</v>
      </c>
      <c r="E250" s="2120">
        <v>0.15</v>
      </c>
      <c r="F250" s="2121">
        <v>0.14399999999999999</v>
      </c>
    </row>
    <row r="251" spans="1:6" ht="14.25" thickBot="1">
      <c r="A251" s="1531" t="s">
        <v>1546</v>
      </c>
      <c r="B251" s="1525" t="s">
        <v>1271</v>
      </c>
      <c r="C251" s="2120">
        <v>0.15</v>
      </c>
      <c r="D251" s="2120">
        <v>0.15</v>
      </c>
      <c r="E251" s="2120">
        <v>0.15</v>
      </c>
      <c r="F251" s="2121">
        <v>0.14299999999999999</v>
      </c>
    </row>
    <row r="252" spans="1:6" ht="14.25" thickBot="1">
      <c r="A252" s="1531" t="s">
        <v>1546</v>
      </c>
      <c r="B252" s="1525" t="s">
        <v>1282</v>
      </c>
      <c r="C252" s="2120">
        <v>0.15</v>
      </c>
      <c r="D252" s="2120">
        <v>0.15</v>
      </c>
      <c r="E252" s="2120">
        <v>0.15</v>
      </c>
      <c r="F252" s="2121">
        <v>0.1</v>
      </c>
    </row>
    <row r="253" spans="1:6" ht="14.25" thickBot="1">
      <c r="A253" s="1531" t="s">
        <v>1546</v>
      </c>
      <c r="B253" s="1525" t="s">
        <v>1294</v>
      </c>
      <c r="C253" s="2120">
        <v>0.15</v>
      </c>
      <c r="D253" s="2120">
        <v>0.15</v>
      </c>
      <c r="E253" s="2120">
        <v>0.15</v>
      </c>
      <c r="F253" s="2121">
        <v>0.1</v>
      </c>
    </row>
    <row r="254" spans="1:6" ht="14.25" thickBot="1">
      <c r="A254" s="1531" t="s">
        <v>1546</v>
      </c>
      <c r="B254" s="1525" t="s">
        <v>1304</v>
      </c>
      <c r="C254" s="2133"/>
      <c r="D254" s="2133"/>
      <c r="E254" s="2133"/>
      <c r="F254" s="2121">
        <v>0.15</v>
      </c>
    </row>
    <row r="255" spans="1:6" ht="14.25" thickBot="1">
      <c r="A255" s="1531" t="s">
        <v>1546</v>
      </c>
      <c r="B255" s="1525" t="s">
        <v>1314</v>
      </c>
      <c r="C255" s="2133"/>
      <c r="D255" s="2133"/>
      <c r="E255" s="2133"/>
      <c r="F255" s="2121">
        <v>0.14299999999999999</v>
      </c>
    </row>
    <row r="256" spans="1:6" ht="14.25" thickBot="1">
      <c r="A256" s="1531" t="s">
        <v>1546</v>
      </c>
      <c r="B256" s="1525" t="s">
        <v>2234</v>
      </c>
      <c r="C256" s="2120">
        <v>0.14599999999999999</v>
      </c>
      <c r="D256" s="2120">
        <v>0.14699999999999999</v>
      </c>
      <c r="E256" s="2120">
        <v>0.15</v>
      </c>
      <c r="F256" s="2121">
        <v>0.13200000000000001</v>
      </c>
    </row>
    <row r="257" spans="1:6" ht="14.25" thickBot="1">
      <c r="A257" s="1531" t="s">
        <v>1546</v>
      </c>
      <c r="B257" s="1525" t="s">
        <v>1334</v>
      </c>
      <c r="C257" s="2120">
        <v>0.15</v>
      </c>
      <c r="D257" s="2120">
        <v>0.15</v>
      </c>
      <c r="E257" s="2120">
        <v>0.15</v>
      </c>
      <c r="F257" s="2121">
        <v>0.13900000000000001</v>
      </c>
    </row>
    <row r="258" spans="1:6" ht="14.25" thickBot="1">
      <c r="A258" s="1531" t="s">
        <v>1546</v>
      </c>
      <c r="B258" s="1525" t="s">
        <v>1345</v>
      </c>
      <c r="C258" s="2120">
        <v>0.15</v>
      </c>
      <c r="D258" s="2120">
        <v>0.15</v>
      </c>
      <c r="E258" s="2120">
        <v>0.15</v>
      </c>
      <c r="F258" s="2121">
        <v>0.13</v>
      </c>
    </row>
    <row r="259" spans="1:6" ht="14.25" thickBot="1">
      <c r="A259" s="1531" t="s">
        <v>1546</v>
      </c>
      <c r="B259" s="1525" t="s">
        <v>2235</v>
      </c>
      <c r="C259" s="2120">
        <v>0.14799999999999999</v>
      </c>
      <c r="D259" s="2120">
        <v>0.14899999999999999</v>
      </c>
      <c r="E259" s="2120">
        <v>0.15</v>
      </c>
      <c r="F259" s="2121">
        <v>0.13700000000000001</v>
      </c>
    </row>
    <row r="260" spans="1:6" ht="14.25" thickBot="1">
      <c r="A260" s="1531" t="s">
        <v>1546</v>
      </c>
      <c r="B260" s="1525" t="s">
        <v>1366</v>
      </c>
      <c r="C260" s="2120">
        <v>0.15</v>
      </c>
      <c r="D260" s="2120">
        <v>0.15</v>
      </c>
      <c r="E260" s="2120">
        <v>0.15</v>
      </c>
      <c r="F260" s="2121">
        <v>0.14199999999999999</v>
      </c>
    </row>
    <row r="261" spans="1:6" ht="14.25" thickBot="1">
      <c r="A261" s="1531" t="s">
        <v>1546</v>
      </c>
      <c r="B261" s="1525" t="s">
        <v>1376</v>
      </c>
      <c r="C261" s="2120">
        <v>0.15</v>
      </c>
      <c r="D261" s="2120">
        <v>0.15</v>
      </c>
      <c r="E261" s="2120">
        <v>0.14899999999999999</v>
      </c>
      <c r="F261" s="2121">
        <v>0.14799999999999999</v>
      </c>
    </row>
    <row r="262" spans="1:6" ht="14.25" thickBot="1">
      <c r="A262" s="1531" t="s">
        <v>1546</v>
      </c>
      <c r="B262" s="1525" t="s">
        <v>1386</v>
      </c>
      <c r="C262" s="2120">
        <v>0.15</v>
      </c>
      <c r="D262" s="2120">
        <v>0.15</v>
      </c>
      <c r="E262" s="2120">
        <v>0.15</v>
      </c>
      <c r="F262" s="2132"/>
    </row>
    <row r="263" spans="1:6" ht="14.25" thickBot="1">
      <c r="A263" s="1531" t="s">
        <v>1546</v>
      </c>
      <c r="B263" s="1525" t="s">
        <v>2236</v>
      </c>
      <c r="C263" s="2120">
        <v>0.14899999999999999</v>
      </c>
      <c r="D263" s="2120">
        <v>0.14899999999999999</v>
      </c>
      <c r="E263" s="2120">
        <v>0.15</v>
      </c>
      <c r="F263" s="2121">
        <v>0.13</v>
      </c>
    </row>
    <row r="264" spans="1:6" ht="14.25" thickBot="1">
      <c r="A264" s="1531" t="s">
        <v>1546</v>
      </c>
      <c r="B264" s="1525" t="s">
        <v>1405</v>
      </c>
      <c r="C264" s="2120">
        <v>0.14799999999999999</v>
      </c>
      <c r="D264" s="2120">
        <v>0.14699999999999999</v>
      </c>
      <c r="E264" s="2120">
        <v>0.15</v>
      </c>
      <c r="F264" s="2121">
        <v>7.8E-2</v>
      </c>
    </row>
    <row r="265" spans="1:6" ht="14.25" thickBot="1">
      <c r="A265" s="1531" t="s">
        <v>1546</v>
      </c>
      <c r="B265" s="1525" t="s">
        <v>1414</v>
      </c>
      <c r="C265" s="2120">
        <v>0.15</v>
      </c>
      <c r="D265" s="2120">
        <v>0.15</v>
      </c>
      <c r="E265" s="2120">
        <v>0.15</v>
      </c>
      <c r="F265" s="2121">
        <v>7.3999999999999996E-2</v>
      </c>
    </row>
    <row r="266" spans="1:6" ht="14.25" thickBot="1">
      <c r="A266" s="1531" t="s">
        <v>1546</v>
      </c>
      <c r="B266" s="1525" t="s">
        <v>1422</v>
      </c>
      <c r="C266" s="2120">
        <v>0.14699999999999999</v>
      </c>
      <c r="D266" s="2120">
        <v>0.14699999999999999</v>
      </c>
      <c r="E266" s="2120">
        <v>0.15</v>
      </c>
      <c r="F266" s="2121">
        <v>0.14299999999999999</v>
      </c>
    </row>
    <row r="267" spans="1:6" ht="14.25" thickBot="1">
      <c r="A267" s="1531" t="s">
        <v>1546</v>
      </c>
      <c r="B267" s="1525" t="s">
        <v>1429</v>
      </c>
      <c r="C267" s="2120">
        <v>0.14199999999999999</v>
      </c>
      <c r="D267" s="2120">
        <v>0.14299999999999999</v>
      </c>
      <c r="E267" s="2120">
        <v>0.15</v>
      </c>
      <c r="F267" s="2132"/>
    </row>
    <row r="268" spans="1:6" ht="14.25" thickBot="1">
      <c r="A268" s="1531" t="s">
        <v>1546</v>
      </c>
      <c r="B268" s="1525" t="s">
        <v>2237</v>
      </c>
      <c r="C268" s="2120">
        <v>0.15</v>
      </c>
      <c r="D268" s="2120">
        <v>0.15</v>
      </c>
      <c r="E268" s="2120">
        <v>0.15</v>
      </c>
      <c r="F268" s="2121">
        <v>0.13</v>
      </c>
    </row>
    <row r="269" spans="1:6" ht="14.25" thickBot="1">
      <c r="A269" s="1531" t="s">
        <v>1546</v>
      </c>
      <c r="B269" s="1525" t="s">
        <v>1443</v>
      </c>
      <c r="C269" s="2120">
        <v>0.15</v>
      </c>
      <c r="D269" s="2120">
        <v>0.15</v>
      </c>
      <c r="E269" s="2120">
        <v>0.15</v>
      </c>
      <c r="F269" s="2121">
        <v>0.14299999999999999</v>
      </c>
    </row>
    <row r="270" spans="1:6" ht="14.25" thickBot="1">
      <c r="A270" s="1531" t="s">
        <v>1546</v>
      </c>
      <c r="B270" s="1525" t="s">
        <v>1450</v>
      </c>
      <c r="C270" s="2120">
        <v>0.14499999999999999</v>
      </c>
      <c r="D270" s="2120">
        <v>0.14499999999999999</v>
      </c>
      <c r="E270" s="2120">
        <v>0.15</v>
      </c>
      <c r="F270" s="2121">
        <v>0.14699999999999999</v>
      </c>
    </row>
    <row r="271" spans="1:6" ht="14.25" thickBot="1">
      <c r="A271" s="1531" t="s">
        <v>1546</v>
      </c>
      <c r="B271" s="1525" t="s">
        <v>1457</v>
      </c>
      <c r="C271" s="2120">
        <v>0.15</v>
      </c>
      <c r="D271" s="2120">
        <v>0.15</v>
      </c>
      <c r="E271" s="2120">
        <v>0.15</v>
      </c>
      <c r="F271" s="2121">
        <v>0.13800000000000001</v>
      </c>
    </row>
    <row r="272" spans="1:6" ht="14.25" thickBot="1">
      <c r="A272" s="1531" t="s">
        <v>1546</v>
      </c>
      <c r="B272" s="1525" t="s">
        <v>1464</v>
      </c>
      <c r="C272" s="2133"/>
      <c r="D272" s="2133"/>
      <c r="E272" s="2133"/>
      <c r="F272" s="2121">
        <v>0.14000000000000001</v>
      </c>
    </row>
    <row r="273" spans="1:6" ht="14.25" thickBot="1">
      <c r="A273" s="1531" t="s">
        <v>1546</v>
      </c>
      <c r="B273" s="1525" t="s">
        <v>2238</v>
      </c>
      <c r="C273" s="2120">
        <v>0.14199999999999999</v>
      </c>
      <c r="D273" s="2120">
        <v>0.14299999999999999</v>
      </c>
      <c r="E273" s="2120">
        <v>0.15</v>
      </c>
      <c r="F273" s="2121">
        <v>0.1</v>
      </c>
    </row>
    <row r="274" spans="1:6" ht="14.25" thickBot="1">
      <c r="A274" s="1531" t="s">
        <v>1546</v>
      </c>
      <c r="B274" s="1525" t="s">
        <v>2239</v>
      </c>
      <c r="C274" s="2120">
        <v>0.14799999999999999</v>
      </c>
      <c r="D274" s="2120">
        <v>0.14799999999999999</v>
      </c>
      <c r="E274" s="2120">
        <v>0.15</v>
      </c>
      <c r="F274" s="2121">
        <v>6.7000000000000004E-2</v>
      </c>
    </row>
    <row r="275" spans="1:6" ht="14.25" thickBot="1">
      <c r="A275" s="1531" t="s">
        <v>1546</v>
      </c>
      <c r="B275" s="1525" t="s">
        <v>2240</v>
      </c>
      <c r="C275" s="2120">
        <v>0.15</v>
      </c>
      <c r="D275" s="2120">
        <v>0.15</v>
      </c>
      <c r="E275" s="2120">
        <v>0.15</v>
      </c>
      <c r="F275" s="2121">
        <v>0.15</v>
      </c>
    </row>
    <row r="276" spans="1:6" ht="14.25" thickBot="1">
      <c r="A276" s="1531" t="s">
        <v>1546</v>
      </c>
      <c r="B276" s="1525" t="s">
        <v>2241</v>
      </c>
      <c r="C276" s="2120">
        <v>0.14499999999999999</v>
      </c>
      <c r="D276" s="2120">
        <v>0.14299999999999999</v>
      </c>
      <c r="E276" s="2120">
        <v>0.15</v>
      </c>
      <c r="F276" s="2121">
        <v>5.8999999999999997E-2</v>
      </c>
    </row>
    <row r="277" spans="1:6" ht="14.25" thickBot="1">
      <c r="A277" s="1531" t="s">
        <v>1546</v>
      </c>
      <c r="B277" s="1525" t="s">
        <v>2242</v>
      </c>
      <c r="C277" s="2120">
        <v>0.15</v>
      </c>
      <c r="D277" s="2120">
        <v>0.15</v>
      </c>
      <c r="E277" s="2120">
        <v>0.15</v>
      </c>
      <c r="F277" s="2121">
        <v>0.121</v>
      </c>
    </row>
    <row r="278" spans="1:6" ht="14.25" thickBot="1">
      <c r="A278" s="1531" t="s">
        <v>1546</v>
      </c>
      <c r="B278" s="1525" t="s">
        <v>2243</v>
      </c>
      <c r="C278" s="2120">
        <v>0.15</v>
      </c>
      <c r="D278" s="2120">
        <v>0.15</v>
      </c>
      <c r="E278" s="2120">
        <v>0.15</v>
      </c>
      <c r="F278" s="2121">
        <v>0.13800000000000001</v>
      </c>
    </row>
    <row r="279" spans="1:6" ht="24.75" thickBot="1">
      <c r="A279" s="1531" t="s">
        <v>1546</v>
      </c>
      <c r="B279" s="1525" t="s">
        <v>2244</v>
      </c>
      <c r="C279" s="2133"/>
      <c r="D279" s="2133"/>
      <c r="E279" s="2133"/>
      <c r="F279" s="2121">
        <v>0.05</v>
      </c>
    </row>
    <row r="280" spans="1:6" ht="24.75" thickBot="1">
      <c r="A280" s="1531" t="s">
        <v>1546</v>
      </c>
      <c r="B280" s="1525" t="s">
        <v>2245</v>
      </c>
      <c r="C280" s="2133"/>
      <c r="D280" s="2133"/>
      <c r="E280" s="2133"/>
      <c r="F280" s="2121">
        <v>0.05</v>
      </c>
    </row>
    <row r="281" spans="1:6" ht="24.75" thickBot="1">
      <c r="A281" s="1531" t="s">
        <v>1546</v>
      </c>
      <c r="B281" s="1525" t="s">
        <v>2246</v>
      </c>
      <c r="C281" s="2133"/>
      <c r="D281" s="2133"/>
      <c r="E281" s="2133"/>
      <c r="F281" s="2121">
        <v>0.05</v>
      </c>
    </row>
    <row r="282" spans="1:6" ht="24.75" thickBot="1">
      <c r="A282" s="1531" t="s">
        <v>1546</v>
      </c>
      <c r="B282" s="1525" t="s">
        <v>2247</v>
      </c>
      <c r="C282" s="2133"/>
      <c r="D282" s="2133"/>
      <c r="E282" s="2133"/>
      <c r="F282" s="2121">
        <v>0.05</v>
      </c>
    </row>
    <row r="283" spans="1:6" ht="24.75" thickBot="1">
      <c r="A283" s="1531" t="s">
        <v>1546</v>
      </c>
      <c r="B283" s="1525" t="s">
        <v>2248</v>
      </c>
      <c r="C283" s="2133"/>
      <c r="D283" s="2133"/>
      <c r="E283" s="2133"/>
      <c r="F283" s="2121">
        <v>0.05</v>
      </c>
    </row>
    <row r="284" spans="1:6" ht="24.75" thickBot="1">
      <c r="A284" s="1531" t="s">
        <v>1546</v>
      </c>
      <c r="B284" s="1525" t="s">
        <v>2249</v>
      </c>
      <c r="C284" s="2133"/>
      <c r="D284" s="2133"/>
      <c r="E284" s="2133"/>
      <c r="F284" s="2121">
        <v>0.05</v>
      </c>
    </row>
    <row r="285" spans="1:6" ht="24.75" thickBot="1">
      <c r="A285" s="1531" t="s">
        <v>1546</v>
      </c>
      <c r="B285" s="1525" t="s">
        <v>2250</v>
      </c>
      <c r="C285" s="2133"/>
      <c r="D285" s="2133"/>
      <c r="E285" s="2133"/>
      <c r="F285" s="2121">
        <v>0.05</v>
      </c>
    </row>
    <row r="286" spans="1:6" ht="24.75" thickBot="1">
      <c r="A286" s="1531" t="s">
        <v>1546</v>
      </c>
      <c r="B286" s="1525" t="s">
        <v>2251</v>
      </c>
      <c r="C286" s="2133"/>
      <c r="D286" s="2133"/>
      <c r="E286" s="2133"/>
      <c r="F286" s="2121">
        <v>0.05</v>
      </c>
    </row>
    <row r="287" spans="1:6" ht="24.75" thickBot="1">
      <c r="A287" s="1531" t="s">
        <v>1546</v>
      </c>
      <c r="B287" s="1525" t="s">
        <v>2252</v>
      </c>
      <c r="C287" s="2133"/>
      <c r="D287" s="2133"/>
      <c r="E287" s="2133"/>
      <c r="F287" s="2121">
        <v>0.05</v>
      </c>
    </row>
    <row r="288" spans="1:6" ht="24.75" thickBot="1">
      <c r="A288" s="1531" t="s">
        <v>1546</v>
      </c>
      <c r="B288" s="1525" t="s">
        <v>2253</v>
      </c>
      <c r="C288" s="2133"/>
      <c r="D288" s="2133"/>
      <c r="E288" s="2133"/>
      <c r="F288" s="2121">
        <v>0.05</v>
      </c>
    </row>
    <row r="289" spans="1:6" ht="24.75" thickBot="1">
      <c r="A289" s="1541" t="s">
        <v>1546</v>
      </c>
      <c r="B289" s="1537" t="s">
        <v>2254</v>
      </c>
      <c r="C289" s="2130"/>
      <c r="D289" s="2130"/>
      <c r="E289" s="2130"/>
      <c r="F289" s="2123">
        <v>0.05</v>
      </c>
    </row>
    <row r="290" spans="1:6" ht="14.25" thickBot="1">
      <c r="A290" s="1531" t="s">
        <v>1550</v>
      </c>
      <c r="B290" s="1532" t="s">
        <v>2255</v>
      </c>
      <c r="C290" s="2118">
        <v>0.15</v>
      </c>
      <c r="D290" s="2118">
        <v>0.15</v>
      </c>
      <c r="E290" s="2118">
        <v>0.15</v>
      </c>
      <c r="F290" s="2135"/>
    </row>
    <row r="291" spans="1:6" ht="14.25" thickBot="1">
      <c r="A291" s="1531" t="s">
        <v>1550</v>
      </c>
      <c r="B291" s="1525" t="s">
        <v>1212</v>
      </c>
      <c r="C291" s="2120">
        <v>0.15</v>
      </c>
      <c r="D291" s="2120">
        <v>0.15</v>
      </c>
      <c r="E291" s="2120">
        <v>0.15</v>
      </c>
      <c r="F291" s="2132"/>
    </row>
    <row r="292" spans="1:6" ht="14.25" thickBot="1">
      <c r="A292" s="1531" t="s">
        <v>1550</v>
      </c>
      <c r="B292" s="1525" t="s">
        <v>2256</v>
      </c>
      <c r="C292" s="2120">
        <v>0.15</v>
      </c>
      <c r="D292" s="2120">
        <v>0.15</v>
      </c>
      <c r="E292" s="2120">
        <v>0.15</v>
      </c>
      <c r="F292" s="2121">
        <v>0.14699999999999999</v>
      </c>
    </row>
    <row r="293" spans="1:6" ht="14.25" thickBot="1">
      <c r="A293" s="1531" t="s">
        <v>1550</v>
      </c>
      <c r="B293" s="1525" t="s">
        <v>2257</v>
      </c>
      <c r="C293" s="2133"/>
      <c r="D293" s="2133"/>
      <c r="E293" s="2133"/>
      <c r="F293" s="2121">
        <v>0.1</v>
      </c>
    </row>
    <row r="294" spans="1:6" ht="14.25" thickBot="1">
      <c r="A294" s="1531" t="s">
        <v>1550</v>
      </c>
      <c r="B294" s="1525" t="s">
        <v>2258</v>
      </c>
      <c r="C294" s="2120">
        <v>0.15</v>
      </c>
      <c r="D294" s="2120">
        <v>0.15</v>
      </c>
      <c r="E294" s="2120">
        <v>0.15</v>
      </c>
      <c r="F294" s="2121">
        <v>0.15</v>
      </c>
    </row>
    <row r="295" spans="1:6" ht="14.25" thickBot="1">
      <c r="A295" s="1531" t="s">
        <v>1550</v>
      </c>
      <c r="B295" s="1525" t="s">
        <v>1250</v>
      </c>
      <c r="C295" s="2120">
        <v>0.15</v>
      </c>
      <c r="D295" s="2120">
        <v>0.15</v>
      </c>
      <c r="E295" s="2120">
        <v>0.15</v>
      </c>
      <c r="F295" s="2121">
        <v>0.15</v>
      </c>
    </row>
    <row r="296" spans="1:6" ht="14.25" thickBot="1">
      <c r="A296" s="1531" t="s">
        <v>1550</v>
      </c>
      <c r="B296" s="1525" t="s">
        <v>2259</v>
      </c>
      <c r="C296" s="2120">
        <v>0.15</v>
      </c>
      <c r="D296" s="2120">
        <v>0.15</v>
      </c>
      <c r="E296" s="2120">
        <v>0.15</v>
      </c>
      <c r="F296" s="2121">
        <v>0.15</v>
      </c>
    </row>
    <row r="297" spans="1:6" ht="14.25" thickBot="1">
      <c r="A297" s="1531" t="s">
        <v>1550</v>
      </c>
      <c r="B297" s="1525" t="s">
        <v>2260</v>
      </c>
      <c r="C297" s="2120">
        <v>0.14799999999999999</v>
      </c>
      <c r="D297" s="2120">
        <v>0.14899999999999999</v>
      </c>
      <c r="E297" s="2120">
        <v>0.15</v>
      </c>
      <c r="F297" s="2121">
        <v>0.13700000000000001</v>
      </c>
    </row>
    <row r="298" spans="1:6" ht="14.25" thickBot="1">
      <c r="A298" s="1531" t="s">
        <v>1550</v>
      </c>
      <c r="B298" s="1525" t="s">
        <v>1283</v>
      </c>
      <c r="C298" s="2120">
        <v>0.13400000000000001</v>
      </c>
      <c r="D298" s="2120">
        <v>0.13400000000000001</v>
      </c>
      <c r="E298" s="2120">
        <v>0.14499999999999999</v>
      </c>
      <c r="F298" s="2121">
        <v>0.14799999999999999</v>
      </c>
    </row>
    <row r="299" spans="1:6" ht="14.25" thickBot="1">
      <c r="A299" s="1531" t="s">
        <v>1550</v>
      </c>
      <c r="B299" s="1525" t="s">
        <v>1295</v>
      </c>
      <c r="C299" s="2120">
        <v>0.15</v>
      </c>
      <c r="D299" s="2120">
        <v>0.15</v>
      </c>
      <c r="E299" s="2120">
        <v>0.15</v>
      </c>
      <c r="F299" s="2132"/>
    </row>
    <row r="300" spans="1:6" ht="14.25" thickBot="1">
      <c r="A300" s="1531" t="s">
        <v>1550</v>
      </c>
      <c r="B300" s="1525" t="s">
        <v>2261</v>
      </c>
      <c r="C300" s="2120">
        <v>0.15</v>
      </c>
      <c r="D300" s="2120">
        <v>0.15</v>
      </c>
      <c r="E300" s="2120">
        <v>0.15</v>
      </c>
      <c r="F300" s="2121">
        <v>0.15</v>
      </c>
    </row>
    <row r="301" spans="1:6" ht="14.25" thickBot="1">
      <c r="A301" s="1531" t="s">
        <v>1550</v>
      </c>
      <c r="B301" s="1525" t="s">
        <v>1315</v>
      </c>
      <c r="C301" s="2120">
        <v>0.15</v>
      </c>
      <c r="D301" s="2120">
        <v>0.15</v>
      </c>
      <c r="E301" s="2120">
        <v>0.15</v>
      </c>
      <c r="F301" s="2132"/>
    </row>
    <row r="302" spans="1:6" ht="14.25" thickBot="1">
      <c r="A302" s="1531" t="s">
        <v>1550</v>
      </c>
      <c r="B302" s="1525" t="s">
        <v>2262</v>
      </c>
      <c r="C302" s="2120">
        <v>0.15</v>
      </c>
      <c r="D302" s="2120">
        <v>0.15</v>
      </c>
      <c r="E302" s="2120">
        <v>0.15</v>
      </c>
      <c r="F302" s="2121">
        <v>0.15</v>
      </c>
    </row>
    <row r="303" spans="1:6" ht="14.25" thickBot="1">
      <c r="A303" s="1531" t="s">
        <v>1550</v>
      </c>
      <c r="B303" s="1525" t="s">
        <v>1335</v>
      </c>
      <c r="C303" s="2120">
        <v>0.15</v>
      </c>
      <c r="D303" s="2120">
        <v>0.15</v>
      </c>
      <c r="E303" s="2120">
        <v>0.15</v>
      </c>
      <c r="F303" s="2121">
        <v>0.15</v>
      </c>
    </row>
    <row r="304" spans="1:6" ht="14.25" thickBot="1">
      <c r="A304" s="1531" t="s">
        <v>1550</v>
      </c>
      <c r="B304" s="1525" t="s">
        <v>1346</v>
      </c>
      <c r="C304" s="2120">
        <v>0.15</v>
      </c>
      <c r="D304" s="2120">
        <v>0.15</v>
      </c>
      <c r="E304" s="2120">
        <v>0.15</v>
      </c>
      <c r="F304" s="2132"/>
    </row>
    <row r="305" spans="1:6" ht="14.25" thickBot="1">
      <c r="A305" s="1531" t="s">
        <v>1550</v>
      </c>
      <c r="B305" s="1525" t="s">
        <v>2263</v>
      </c>
      <c r="C305" s="2120">
        <v>0.15</v>
      </c>
      <c r="D305" s="2120">
        <v>0.15</v>
      </c>
      <c r="E305" s="2120">
        <v>0.15</v>
      </c>
      <c r="F305" s="2121">
        <v>0.14000000000000001</v>
      </c>
    </row>
    <row r="306" spans="1:6" ht="14.25" thickBot="1">
      <c r="A306" s="1531" t="s">
        <v>1550</v>
      </c>
      <c r="B306" s="1525" t="s">
        <v>1367</v>
      </c>
      <c r="C306" s="2120">
        <v>0.15</v>
      </c>
      <c r="D306" s="2120">
        <v>0.15</v>
      </c>
      <c r="E306" s="2120">
        <v>0.15</v>
      </c>
      <c r="F306" s="2132"/>
    </row>
    <row r="307" spans="1:6" ht="14.25" thickBot="1">
      <c r="A307" s="1531" t="s">
        <v>1550</v>
      </c>
      <c r="B307" s="1525" t="s">
        <v>2264</v>
      </c>
      <c r="C307" s="2120">
        <v>0.15</v>
      </c>
      <c r="D307" s="2120">
        <v>0.15</v>
      </c>
      <c r="E307" s="2120">
        <v>0.15</v>
      </c>
      <c r="F307" s="2121">
        <v>0.14299999999999999</v>
      </c>
    </row>
    <row r="308" spans="1:6" ht="14.25" thickBot="1">
      <c r="A308" s="1531" t="s">
        <v>1550</v>
      </c>
      <c r="B308" s="1525" t="s">
        <v>1387</v>
      </c>
      <c r="C308" s="2120">
        <v>0.15</v>
      </c>
      <c r="D308" s="2120">
        <v>0.15</v>
      </c>
      <c r="E308" s="2120">
        <v>0.15</v>
      </c>
      <c r="F308" s="2121">
        <v>0.15</v>
      </c>
    </row>
    <row r="309" spans="1:6" ht="14.25" thickBot="1">
      <c r="A309" s="1531" t="s">
        <v>1550</v>
      </c>
      <c r="B309" s="1525" t="s">
        <v>1397</v>
      </c>
      <c r="C309" s="2120">
        <v>0.15</v>
      </c>
      <c r="D309" s="2120">
        <v>0.15</v>
      </c>
      <c r="E309" s="2120">
        <v>0.15</v>
      </c>
      <c r="F309" s="2132"/>
    </row>
    <row r="310" spans="1:6" ht="14.25" thickBot="1">
      <c r="A310" s="1531" t="s">
        <v>1550</v>
      </c>
      <c r="B310" s="1525" t="s">
        <v>2265</v>
      </c>
      <c r="C310" s="2120">
        <v>0.15</v>
      </c>
      <c r="D310" s="2120">
        <v>0.15</v>
      </c>
      <c r="E310" s="2120">
        <v>0.15</v>
      </c>
      <c r="F310" s="2121">
        <v>0.13700000000000001</v>
      </c>
    </row>
    <row r="311" spans="1:6" ht="14.25" thickBot="1">
      <c r="A311" s="1531" t="s">
        <v>1550</v>
      </c>
      <c r="B311" s="1525" t="s">
        <v>2266</v>
      </c>
      <c r="C311" s="2120">
        <v>0.15</v>
      </c>
      <c r="D311" s="2120">
        <v>0.15</v>
      </c>
      <c r="E311" s="2120">
        <v>0.15</v>
      </c>
      <c r="F311" s="2121">
        <v>0.15</v>
      </c>
    </row>
    <row r="312" spans="1:6" ht="14.25" thickBot="1">
      <c r="A312" s="1531" t="s">
        <v>1550</v>
      </c>
      <c r="B312" s="1525" t="s">
        <v>1423</v>
      </c>
      <c r="C312" s="2120">
        <v>0.15</v>
      </c>
      <c r="D312" s="2120">
        <v>0.15</v>
      </c>
      <c r="E312" s="2120">
        <v>0.15</v>
      </c>
      <c r="F312" s="2121">
        <v>0.1</v>
      </c>
    </row>
    <row r="313" spans="1:6" ht="14.25" thickBot="1">
      <c r="A313" s="1531" t="s">
        <v>1550</v>
      </c>
      <c r="B313" s="1525" t="s">
        <v>2267</v>
      </c>
      <c r="C313" s="2120">
        <v>0.15</v>
      </c>
      <c r="D313" s="2120">
        <v>0.15</v>
      </c>
      <c r="E313" s="2120">
        <v>0.15</v>
      </c>
      <c r="F313" s="2121">
        <v>0.15</v>
      </c>
    </row>
    <row r="314" spans="1:6" ht="24.75" thickBot="1">
      <c r="A314" s="1531" t="s">
        <v>1550</v>
      </c>
      <c r="B314" s="1525" t="s">
        <v>2268</v>
      </c>
      <c r="C314" s="2133"/>
      <c r="D314" s="2133"/>
      <c r="E314" s="2133"/>
      <c r="F314" s="2121">
        <v>0.05</v>
      </c>
    </row>
    <row r="315" spans="1:6" ht="24.75" thickBot="1">
      <c r="A315" s="1531" t="s">
        <v>1550</v>
      </c>
      <c r="B315" s="1525" t="s">
        <v>2269</v>
      </c>
      <c r="C315" s="2133"/>
      <c r="D315" s="2133"/>
      <c r="E315" s="2133"/>
      <c r="F315" s="2121">
        <v>0.05</v>
      </c>
    </row>
    <row r="316" spans="1:6" ht="24.75" thickBot="1">
      <c r="A316" s="1541" t="s">
        <v>1550</v>
      </c>
      <c r="B316" s="1537" t="s">
        <v>2270</v>
      </c>
      <c r="C316" s="2130"/>
      <c r="D316" s="2130"/>
      <c r="E316" s="2130"/>
      <c r="F316" s="2123">
        <v>0.05</v>
      </c>
    </row>
    <row r="317" spans="1:6" ht="14.25" thickBot="1">
      <c r="A317" s="1531" t="s">
        <v>2271</v>
      </c>
      <c r="B317" s="1532" t="s">
        <v>2272</v>
      </c>
      <c r="C317" s="2118">
        <v>0.15</v>
      </c>
      <c r="D317" s="2118">
        <v>0.15</v>
      </c>
      <c r="E317" s="2118">
        <v>0.15</v>
      </c>
      <c r="F317" s="2119">
        <v>0.15</v>
      </c>
    </row>
    <row r="318" spans="1:6" ht="14.25" thickBot="1">
      <c r="A318" s="1531" t="s">
        <v>2271</v>
      </c>
      <c r="B318" s="1525" t="s">
        <v>2273</v>
      </c>
      <c r="C318" s="2120">
        <v>0.107</v>
      </c>
      <c r="D318" s="2120">
        <v>0.11</v>
      </c>
      <c r="E318" s="2120">
        <v>0.112</v>
      </c>
      <c r="F318" s="2132"/>
    </row>
    <row r="319" spans="1:6" ht="14.25" thickBot="1">
      <c r="A319" s="1531" t="s">
        <v>2271</v>
      </c>
      <c r="B319" s="1525" t="s">
        <v>2274</v>
      </c>
      <c r="C319" s="2120">
        <v>0.15</v>
      </c>
      <c r="D319" s="2120">
        <v>0.15</v>
      </c>
      <c r="E319" s="2120">
        <v>0.15</v>
      </c>
      <c r="F319" s="2121">
        <v>0.15</v>
      </c>
    </row>
    <row r="320" spans="1:6" ht="14.25" thickBot="1">
      <c r="A320" s="1531" t="s">
        <v>2271</v>
      </c>
      <c r="B320" s="1525" t="s">
        <v>1239</v>
      </c>
      <c r="C320" s="2120">
        <v>0.15</v>
      </c>
      <c r="D320" s="2120">
        <v>0.15</v>
      </c>
      <c r="E320" s="2120">
        <v>0.15</v>
      </c>
      <c r="F320" s="2132"/>
    </row>
    <row r="321" spans="1:6" ht="14.25" thickBot="1">
      <c r="A321" s="1531" t="s">
        <v>2271</v>
      </c>
      <c r="B321" s="1525" t="s">
        <v>2275</v>
      </c>
      <c r="C321" s="2120">
        <v>0.15</v>
      </c>
      <c r="D321" s="2120">
        <v>0.15</v>
      </c>
      <c r="E321" s="2120">
        <v>0.15</v>
      </c>
      <c r="F321" s="2132"/>
    </row>
    <row r="322" spans="1:6" ht="14.25" thickBot="1">
      <c r="A322" s="1531" t="s">
        <v>2271</v>
      </c>
      <c r="B322" s="1525" t="s">
        <v>2276</v>
      </c>
      <c r="C322" s="2120">
        <v>0.15</v>
      </c>
      <c r="D322" s="2120">
        <v>0.15</v>
      </c>
      <c r="E322" s="2120">
        <v>0.15</v>
      </c>
      <c r="F322" s="2121">
        <v>0.15</v>
      </c>
    </row>
    <row r="323" spans="1:6" ht="14.25" thickBot="1">
      <c r="A323" s="1531" t="s">
        <v>2271</v>
      </c>
      <c r="B323" s="1525" t="s">
        <v>2277</v>
      </c>
      <c r="C323" s="2120">
        <v>0.15</v>
      </c>
      <c r="D323" s="2120">
        <v>0.15</v>
      </c>
      <c r="E323" s="2120">
        <v>0.15</v>
      </c>
      <c r="F323" s="2132"/>
    </row>
    <row r="324" spans="1:6" ht="14.25" thickBot="1">
      <c r="A324" s="1531" t="s">
        <v>2271</v>
      </c>
      <c r="B324" s="1525" t="s">
        <v>2278</v>
      </c>
      <c r="C324" s="2120">
        <v>0.15</v>
      </c>
      <c r="D324" s="2120">
        <v>0.15</v>
      </c>
      <c r="E324" s="2120">
        <v>0.15</v>
      </c>
      <c r="F324" s="2132"/>
    </row>
    <row r="325" spans="1:6" ht="14.25" thickBot="1">
      <c r="A325" s="1531" t="s">
        <v>2271</v>
      </c>
      <c r="B325" s="1525" t="s">
        <v>2279</v>
      </c>
      <c r="C325" s="2120">
        <v>0.15</v>
      </c>
      <c r="D325" s="2120">
        <v>0.15</v>
      </c>
      <c r="E325" s="2120">
        <v>0.15</v>
      </c>
      <c r="F325" s="2121">
        <v>0.14699999999999999</v>
      </c>
    </row>
    <row r="326" spans="1:6" ht="14.25" thickBot="1">
      <c r="A326" s="1531" t="s">
        <v>2271</v>
      </c>
      <c r="B326" s="1525" t="s">
        <v>1306</v>
      </c>
      <c r="C326" s="2120">
        <v>0.15</v>
      </c>
      <c r="D326" s="2120">
        <v>0.15</v>
      </c>
      <c r="E326" s="2120">
        <v>0.15</v>
      </c>
      <c r="F326" s="2132"/>
    </row>
    <row r="327" spans="1:6" ht="14.25" thickBot="1">
      <c r="A327" s="1531" t="s">
        <v>2271</v>
      </c>
      <c r="B327" s="1525" t="s">
        <v>2280</v>
      </c>
      <c r="C327" s="2120">
        <v>0.15</v>
      </c>
      <c r="D327" s="2120">
        <v>0.15</v>
      </c>
      <c r="E327" s="2120">
        <v>0.15</v>
      </c>
      <c r="F327" s="2121">
        <v>0.15</v>
      </c>
    </row>
    <row r="328" spans="1:6" ht="14.25" thickBot="1">
      <c r="A328" s="1531" t="s">
        <v>2271</v>
      </c>
      <c r="B328" s="1525" t="s">
        <v>1326</v>
      </c>
      <c r="C328" s="2120">
        <v>0.15</v>
      </c>
      <c r="D328" s="2120">
        <v>0.15</v>
      </c>
      <c r="E328" s="2120">
        <v>0.15</v>
      </c>
      <c r="F328" s="2121">
        <v>0.14099999999999999</v>
      </c>
    </row>
    <row r="329" spans="1:6" ht="14.25" thickBot="1">
      <c r="A329" s="1531" t="s">
        <v>2271</v>
      </c>
      <c r="B329" s="1525" t="s">
        <v>1336</v>
      </c>
      <c r="C329" s="2120">
        <v>0.15</v>
      </c>
      <c r="D329" s="2120">
        <v>0.15</v>
      </c>
      <c r="E329" s="2120">
        <v>0.15</v>
      </c>
      <c r="F329" s="2121">
        <v>0.15</v>
      </c>
    </row>
    <row r="330" spans="1:6" ht="14.25" thickBot="1">
      <c r="A330" s="1531" t="s">
        <v>2271</v>
      </c>
      <c r="B330" s="1525" t="s">
        <v>1347</v>
      </c>
      <c r="C330" s="2120">
        <v>0.15</v>
      </c>
      <c r="D330" s="2120">
        <v>0.15</v>
      </c>
      <c r="E330" s="2120">
        <v>0.15</v>
      </c>
      <c r="F330" s="2132"/>
    </row>
    <row r="331" spans="1:6" ht="14.25" thickBot="1">
      <c r="A331" s="1531" t="s">
        <v>2271</v>
      </c>
      <c r="B331" s="1525" t="s">
        <v>2281</v>
      </c>
      <c r="C331" s="2120">
        <v>0.15</v>
      </c>
      <c r="D331" s="2120">
        <v>0.15</v>
      </c>
      <c r="E331" s="2120">
        <v>0.15</v>
      </c>
      <c r="F331" s="2121">
        <v>0.15</v>
      </c>
    </row>
    <row r="332" spans="1:6" ht="14.25" thickBot="1">
      <c r="A332" s="1531" t="s">
        <v>2271</v>
      </c>
      <c r="B332" s="1525" t="s">
        <v>1368</v>
      </c>
      <c r="C332" s="2120">
        <v>0.15</v>
      </c>
      <c r="D332" s="2120">
        <v>0.15</v>
      </c>
      <c r="E332" s="2120">
        <v>0.15</v>
      </c>
      <c r="F332" s="2121">
        <v>0.15</v>
      </c>
    </row>
    <row r="333" spans="1:6" ht="14.25" thickBot="1">
      <c r="A333" s="1531" t="s">
        <v>2271</v>
      </c>
      <c r="B333" s="1525" t="s">
        <v>2282</v>
      </c>
      <c r="C333" s="2120">
        <v>0.15</v>
      </c>
      <c r="D333" s="2120">
        <v>0.15</v>
      </c>
      <c r="E333" s="2120">
        <v>0.15</v>
      </c>
      <c r="F333" s="2121">
        <v>0.14099999999999999</v>
      </c>
    </row>
    <row r="334" spans="1:6" ht="14.25" thickBot="1">
      <c r="A334" s="1531" t="s">
        <v>2271</v>
      </c>
      <c r="B334" s="1525" t="s">
        <v>1388</v>
      </c>
      <c r="C334" s="2120">
        <v>0.15</v>
      </c>
      <c r="D334" s="2120">
        <v>0.15</v>
      </c>
      <c r="E334" s="2120">
        <v>0.15</v>
      </c>
      <c r="F334" s="2121">
        <v>0.15</v>
      </c>
    </row>
    <row r="335" spans="1:6" ht="14.25" thickBot="1">
      <c r="A335" s="1531" t="s">
        <v>2271</v>
      </c>
      <c r="B335" s="1525" t="s">
        <v>1398</v>
      </c>
      <c r="C335" s="2120">
        <v>0.15</v>
      </c>
      <c r="D335" s="2120">
        <v>0.15</v>
      </c>
      <c r="E335" s="2120">
        <v>0.15</v>
      </c>
      <c r="F335" s="2132"/>
    </row>
    <row r="336" spans="1:6" ht="14.25" thickBot="1">
      <c r="A336" s="1531" t="s">
        <v>2271</v>
      </c>
      <c r="B336" s="1525" t="s">
        <v>2283</v>
      </c>
      <c r="C336" s="2120">
        <v>0.15</v>
      </c>
      <c r="D336" s="2120">
        <v>0.15</v>
      </c>
      <c r="E336" s="2120">
        <v>0.15</v>
      </c>
      <c r="F336" s="2121">
        <v>0.11799999999999999</v>
      </c>
    </row>
    <row r="337" spans="1:6" ht="14.25" thickBot="1">
      <c r="A337" s="1541" t="s">
        <v>2271</v>
      </c>
      <c r="B337" s="1537" t="s">
        <v>1416</v>
      </c>
      <c r="C337" s="2130"/>
      <c r="D337" s="2130"/>
      <c r="E337" s="2130"/>
      <c r="F337" s="2123">
        <v>0.14299999999999999</v>
      </c>
    </row>
    <row r="338" spans="1:6" ht="14.25" thickBot="1">
      <c r="A338" s="1531" t="s">
        <v>2284</v>
      </c>
      <c r="B338" s="1532" t="s">
        <v>2285</v>
      </c>
      <c r="C338" s="2118">
        <v>0.15</v>
      </c>
      <c r="D338" s="2118">
        <v>0.15</v>
      </c>
      <c r="E338" s="2118">
        <v>0.15</v>
      </c>
      <c r="F338" s="2135"/>
    </row>
    <row r="339" spans="1:6" ht="14.25" thickBot="1">
      <c r="A339" s="1531" t="s">
        <v>2284</v>
      </c>
      <c r="B339" s="1525" t="s">
        <v>2286</v>
      </c>
      <c r="C339" s="2120">
        <v>0.15</v>
      </c>
      <c r="D339" s="2120">
        <v>0.15</v>
      </c>
      <c r="E339" s="2120">
        <v>0.15</v>
      </c>
      <c r="F339" s="2132"/>
    </row>
    <row r="340" spans="1:6" ht="14.25" thickBot="1">
      <c r="A340" s="1531" t="s">
        <v>2284</v>
      </c>
      <c r="B340" s="1525" t="s">
        <v>2287</v>
      </c>
      <c r="C340" s="2120">
        <v>0.15</v>
      </c>
      <c r="D340" s="2120">
        <v>0.15</v>
      </c>
      <c r="E340" s="2120">
        <v>0.15</v>
      </c>
      <c r="F340" s="2132"/>
    </row>
    <row r="341" spans="1:6" ht="14.25" thickBot="1">
      <c r="A341" s="1531" t="s">
        <v>2284</v>
      </c>
      <c r="B341" s="1525" t="s">
        <v>2288</v>
      </c>
      <c r="C341" s="2120">
        <v>0.15</v>
      </c>
      <c r="D341" s="2120">
        <v>0.15</v>
      </c>
      <c r="E341" s="2120">
        <v>0.15</v>
      </c>
      <c r="F341" s="2121">
        <v>0.15</v>
      </c>
    </row>
    <row r="342" spans="1:6" ht="14.25" thickBot="1">
      <c r="A342" s="1531" t="s">
        <v>2284</v>
      </c>
      <c r="B342" s="1525" t="s">
        <v>2289</v>
      </c>
      <c r="C342" s="2120">
        <v>0.15</v>
      </c>
      <c r="D342" s="2120">
        <v>0.15</v>
      </c>
      <c r="E342" s="2120">
        <v>0.15</v>
      </c>
      <c r="F342" s="2121">
        <v>0.15</v>
      </c>
    </row>
    <row r="343" spans="1:6" ht="14.25" thickBot="1">
      <c r="A343" s="1531" t="s">
        <v>2284</v>
      </c>
      <c r="B343" s="1525" t="s">
        <v>2290</v>
      </c>
      <c r="C343" s="2120">
        <v>0.15</v>
      </c>
      <c r="D343" s="2120">
        <v>0.15</v>
      </c>
      <c r="E343" s="2120">
        <v>0.15</v>
      </c>
      <c r="F343" s="2121">
        <v>0.15</v>
      </c>
    </row>
    <row r="344" spans="1:6" ht="14.25" thickBot="1">
      <c r="A344" s="1541" t="s">
        <v>2284</v>
      </c>
      <c r="B344" s="1537" t="s">
        <v>2291</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2904</v>
      </c>
      <c r="C1" s="3198">
        <f>项目基本情况!D3</f>
        <v>42997</v>
      </c>
      <c r="D1" s="3204" t="s">
        <v>2905</v>
      </c>
      <c r="E1" s="3199">
        <f>'数据-取费表'!B22</f>
        <v>2</v>
      </c>
      <c r="F1" s="3204" t="s">
        <v>2906</v>
      </c>
      <c r="G1" s="3200">
        <f ca="1">INDIRECT("d"&amp;$K$1)/100</f>
        <v>4.7500000000000001E-2</v>
      </c>
      <c r="H1" s="3204" t="s">
        <v>2936</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2907</v>
      </c>
      <c r="E2" s="3140"/>
      <c r="F2" s="3140" t="s">
        <v>2908</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2909</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2910</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2911</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2912</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2913</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2914</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2915</v>
      </c>
      <c r="C10" s="3168"/>
      <c r="D10" s="3168"/>
      <c r="E10" s="3168"/>
      <c r="F10" s="3168"/>
      <c r="G10" s="3168"/>
      <c r="H10" s="3168"/>
      <c r="I10" s="3142"/>
      <c r="J10" s="3142"/>
      <c r="K10" s="3168"/>
      <c r="L10" s="3169" t="s">
        <v>2916</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2917</v>
      </c>
      <c r="C11" s="3173" t="s">
        <v>2918</v>
      </c>
      <c r="D11" s="3174" t="s">
        <v>2919</v>
      </c>
      <c r="E11" s="3175"/>
      <c r="F11" s="3174" t="s">
        <v>2920</v>
      </c>
      <c r="G11" s="3176"/>
      <c r="H11" s="3175"/>
      <c r="I11" s="3174" t="s">
        <v>2921</v>
      </c>
      <c r="J11" s="3175"/>
      <c r="K11" s="3171"/>
      <c r="L11" s="3172" t="s">
        <v>2917</v>
      </c>
      <c r="M11" s="3173" t="s">
        <v>2918</v>
      </c>
      <c r="N11" s="3172" t="s">
        <v>2922</v>
      </c>
      <c r="O11" s="3174" t="s">
        <v>2923</v>
      </c>
      <c r="P11" s="3176"/>
      <c r="Q11" s="3176"/>
      <c r="R11" s="3176"/>
      <c r="S11" s="3176"/>
      <c r="T11" s="3175"/>
      <c r="U11" s="3174" t="s">
        <v>2924</v>
      </c>
      <c r="V11" s="3176"/>
      <c r="W11" s="3175"/>
      <c r="X11" s="3172" t="s">
        <v>2925</v>
      </c>
      <c r="Y11" s="3172" t="s">
        <v>2926</v>
      </c>
      <c r="Z11" s="3172" t="s">
        <v>2927</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2928</v>
      </c>
      <c r="E12" s="3181" t="s">
        <v>2929</v>
      </c>
      <c r="F12" s="3181" t="s">
        <v>2930</v>
      </c>
      <c r="G12" s="3181" t="s">
        <v>2931</v>
      </c>
      <c r="H12" s="3181" t="s">
        <v>2913</v>
      </c>
      <c r="I12" s="3182" t="s">
        <v>2932</v>
      </c>
      <c r="J12" s="3182" t="s">
        <v>2932</v>
      </c>
      <c r="K12" s="3178"/>
      <c r="L12" s="3179"/>
      <c r="M12" s="3180"/>
      <c r="N12" s="3179"/>
      <c r="O12" s="3182" t="s">
        <v>2933</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2934</v>
      </c>
      <c r="C13" s="3186">
        <v>42301</v>
      </c>
      <c r="D13" s="3187">
        <v>4.3499999999999996</v>
      </c>
      <c r="E13" s="3187">
        <v>4.3499999999999996</v>
      </c>
      <c r="F13" s="3187">
        <v>4.75</v>
      </c>
      <c r="G13" s="3187">
        <v>4.75</v>
      </c>
      <c r="H13" s="3187">
        <v>4.9000000000000004</v>
      </c>
      <c r="I13" s="3187">
        <v>2.75</v>
      </c>
      <c r="J13" s="3187">
        <v>3.25</v>
      </c>
      <c r="K13" s="3184"/>
      <c r="L13" s="3185" t="s">
        <v>2934</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2935</v>
      </c>
      <c r="Y42" s="3191" t="s">
        <v>2935</v>
      </c>
      <c r="Z42" s="3191" t="s">
        <v>2935</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2935</v>
      </c>
      <c r="Y43" s="3191" t="s">
        <v>2935</v>
      </c>
      <c r="Z43" s="3191" t="s">
        <v>2935</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2935</v>
      </c>
      <c r="Y44" s="3191" t="s">
        <v>2935</v>
      </c>
      <c r="Z44" s="3191" t="s">
        <v>2935</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2935</v>
      </c>
      <c r="Y45" s="3191" t="s">
        <v>2935</v>
      </c>
      <c r="Z45" s="3191" t="s">
        <v>2935</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2935</v>
      </c>
      <c r="Y46" s="3191" t="s">
        <v>2935</v>
      </c>
      <c r="Z46" s="3191" t="s">
        <v>2935</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2935</v>
      </c>
      <c r="Y47" s="3191" t="s">
        <v>2935</v>
      </c>
      <c r="Z47" s="3191" t="s">
        <v>2935</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2935</v>
      </c>
      <c r="Y48" s="3191" t="s">
        <v>2935</v>
      </c>
      <c r="Z48" s="3191" t="s">
        <v>2935</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2935</v>
      </c>
      <c r="Y49" s="3191" t="s">
        <v>2935</v>
      </c>
      <c r="Z49" s="3191" t="s">
        <v>2935</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2935</v>
      </c>
      <c r="Y50" s="3191" t="s">
        <v>2935</v>
      </c>
      <c r="Z50" s="3191" t="s">
        <v>2935</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2935</v>
      </c>
      <c r="V51" s="3191" t="s">
        <v>2935</v>
      </c>
      <c r="W51" s="3191" t="s">
        <v>2935</v>
      </c>
      <c r="X51" s="3191" t="s">
        <v>2935</v>
      </c>
      <c r="Y51" s="3191" t="s">
        <v>2935</v>
      </c>
      <c r="Z51" s="3191" t="s">
        <v>2935</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2935</v>
      </c>
      <c r="J55" s="3191" t="s">
        <v>2935</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3037</v>
      </c>
      <c r="E1" s="3327" t="s">
        <v>3041</v>
      </c>
      <c r="F1" s="3328" t="s">
        <v>3045</v>
      </c>
    </row>
    <row r="2" spans="1:13" ht="20.25">
      <c r="A2" s="3334" t="s">
        <v>3038</v>
      </c>
    </row>
    <row r="3" spans="1:13" ht="16.5">
      <c r="A3" s="3335" t="s">
        <v>3039</v>
      </c>
    </row>
    <row r="4" spans="1:13" ht="14.25">
      <c r="A4" s="3325" t="s">
        <v>3040</v>
      </c>
      <c r="B4" s="3330" t="s">
        <v>3042</v>
      </c>
      <c r="C4" s="3331"/>
      <c r="D4" s="3332"/>
      <c r="E4" s="3330" t="s">
        <v>139</v>
      </c>
      <c r="F4" s="3331"/>
      <c r="G4" s="3332"/>
      <c r="H4" s="3330" t="s">
        <v>3043</v>
      </c>
      <c r="I4" s="3331"/>
      <c r="J4" s="3332"/>
      <c r="K4" s="3330" t="s">
        <v>39</v>
      </c>
      <c r="L4" s="3331"/>
      <c r="M4" s="3332"/>
    </row>
    <row r="5" spans="1:13" ht="14.25">
      <c r="A5" s="3326" t="s">
        <v>3044</v>
      </c>
      <c r="B5" s="3325" t="s">
        <v>3046</v>
      </c>
      <c r="C5" s="3325" t="s">
        <v>3047</v>
      </c>
      <c r="D5" s="3325" t="s">
        <v>3048</v>
      </c>
      <c r="E5" s="3325" t="s">
        <v>3046</v>
      </c>
      <c r="F5" s="3325" t="s">
        <v>3047</v>
      </c>
      <c r="G5" s="3325" t="s">
        <v>3048</v>
      </c>
      <c r="H5" s="3325" t="s">
        <v>3046</v>
      </c>
      <c r="I5" s="3325" t="s">
        <v>3047</v>
      </c>
      <c r="J5" s="3325" t="s">
        <v>3048</v>
      </c>
      <c r="K5" s="3325" t="s">
        <v>3046</v>
      </c>
      <c r="L5" s="3325" t="s">
        <v>3047</v>
      </c>
      <c r="M5" s="3325" t="s">
        <v>3048</v>
      </c>
    </row>
    <row r="6" spans="1:13" ht="14.25">
      <c r="A6" s="3329" t="s">
        <v>1228</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1285</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1458</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1139</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1539</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201</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1542</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1544</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1546</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1550</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1949</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1950</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abSelected="1" workbookViewId="0">
      <selection activeCell="B8" sqref="B8"/>
    </sheetView>
  </sheetViews>
  <sheetFormatPr defaultRowHeight="13.5"/>
  <sheetData>
    <row r="1" spans="1:4">
      <c r="A1" s="3373" t="s">
        <v>3204</v>
      </c>
      <c r="B1" s="3373" t="s">
        <v>3205</v>
      </c>
      <c r="C1" s="3373" t="s">
        <v>3206</v>
      </c>
    </row>
    <row r="2" spans="1:4">
      <c r="A2" s="3375">
        <v>1</v>
      </c>
      <c r="B2" s="3375">
        <f>典型户型修正!Q24</f>
        <v>1</v>
      </c>
      <c r="C2" s="3375">
        <f>'租金比较法-商业'!C49</f>
        <v>10.7</v>
      </c>
      <c r="D2">
        <f ca="1">C2/C5*D5</f>
        <v>72282.52688172042</v>
      </c>
    </row>
    <row r="3" spans="1:4">
      <c r="A3" s="3375">
        <v>2</v>
      </c>
      <c r="B3" s="3428">
        <f>典型户型修正!Q25</f>
        <v>0.7</v>
      </c>
      <c r="C3" s="3375">
        <f>ROUND(C2*B3,2)</f>
        <v>7.49</v>
      </c>
      <c r="D3">
        <f ca="1">C3/C5*D5</f>
        <v>50597.768817204298</v>
      </c>
    </row>
    <row r="4" spans="1:4">
      <c r="A4" s="3373" t="s">
        <v>3207</v>
      </c>
      <c r="B4" s="3375">
        <f>典型户型修正!Q26</f>
        <v>0.55000000000000004</v>
      </c>
      <c r="C4" s="3375">
        <f>ROUND(C3*B4,2)</f>
        <v>4.12</v>
      </c>
      <c r="D4">
        <f ca="1">C4/C5*D5</f>
        <v>27832.150537634407</v>
      </c>
    </row>
    <row r="5" spans="1:4">
      <c r="A5" s="3373" t="s">
        <v>3208</v>
      </c>
      <c r="B5" s="3375"/>
      <c r="C5" s="3375">
        <f>ROUND(AVERAGE(C2:C4),2)</f>
        <v>7.44</v>
      </c>
      <c r="D5">
        <f ca="1">结果表!G20</f>
        <v>50260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B31"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v>
      </c>
      <c r="B1" s="3102" t="s">
        <v>1</v>
      </c>
      <c r="C1" s="3103" t="s">
        <v>126</v>
      </c>
      <c r="D1" s="3104" t="s">
        <v>3042</v>
      </c>
      <c r="E1" s="3107"/>
      <c r="F1" s="3106" t="s">
        <v>3201</v>
      </c>
      <c r="G1" s="3108" t="s">
        <v>127</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171</v>
      </c>
      <c r="B2" s="2845">
        <f>IF(C2="——",ROUND(C49*D3/10000,0),ROUND(C49*D3/10000,0)-D2)</f>
        <v>0</v>
      </c>
      <c r="C2" s="3098" t="s">
        <v>528</v>
      </c>
      <c r="D2" s="2725">
        <f ca="1">SUMIF(INDIRECT("'"&amp;F2&amp;"'"&amp;"!A:A"),"承租人权益价值",INDIRECT("'"&amp;F2&amp;"'"&amp;"!c:c"))</f>
        <v>0</v>
      </c>
      <c r="E2" s="3099" t="s">
        <v>867</v>
      </c>
      <c r="F2" s="3100" t="s">
        <v>3074</v>
      </c>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172</v>
      </c>
      <c r="B3" s="952">
        <f>IF(C2="——",C49,ROUND(B2*10000/D3,0))</f>
        <v>10.7</v>
      </c>
      <c r="C3" s="142" t="s">
        <v>166</v>
      </c>
      <c r="D3" s="742">
        <f>IF(D1="",'数据-汇总表'!E3,SUMIF('数据-汇总表'!$C19:$C33,D1,'数据-汇总表'!$E19:$E33))</f>
        <v>0</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46" t="s">
        <v>54</v>
      </c>
      <c r="D4" s="3647"/>
      <c r="E4" s="3648" t="s">
        <v>55</v>
      </c>
      <c r="F4" s="3649"/>
      <c r="G4" s="3646" t="s">
        <v>56</v>
      </c>
      <c r="H4" s="3647"/>
      <c r="I4" s="3646" t="s">
        <v>57</v>
      </c>
      <c r="J4" s="3647"/>
      <c r="K4" s="187" t="s">
        <v>58</v>
      </c>
      <c r="L4" s="2296"/>
      <c r="M4" s="2297"/>
      <c r="N4" s="2297"/>
      <c r="O4" s="2297"/>
      <c r="P4" s="3650" t="s">
        <v>53</v>
      </c>
      <c r="Q4" s="3651"/>
      <c r="R4" s="3656" t="s">
        <v>55</v>
      </c>
      <c r="S4" s="3657"/>
      <c r="T4" s="3656" t="s">
        <v>56</v>
      </c>
      <c r="U4" s="3657"/>
      <c r="V4" s="3641" t="s">
        <v>57</v>
      </c>
      <c r="W4" s="3641"/>
      <c r="X4" s="3367"/>
      <c r="Y4" s="3656" t="s">
        <v>53</v>
      </c>
      <c r="Z4" s="3657"/>
      <c r="AA4" s="3643" t="s">
        <v>55</v>
      </c>
      <c r="AB4" s="3641" t="s">
        <v>56</v>
      </c>
      <c r="AC4" s="3643" t="s">
        <v>57</v>
      </c>
    </row>
    <row r="5" spans="1:29">
      <c r="A5" s="146"/>
      <c r="B5" s="147"/>
      <c r="C5" s="3664" t="s">
        <v>59</v>
      </c>
      <c r="D5" s="3665"/>
      <c r="E5" s="3671" t="s">
        <v>3199</v>
      </c>
      <c r="F5" s="3672"/>
      <c r="G5" s="3664" t="s">
        <v>3200</v>
      </c>
      <c r="H5" s="3665"/>
      <c r="I5" s="3664" t="s">
        <v>3202</v>
      </c>
      <c r="J5" s="3665"/>
      <c r="K5" s="187"/>
      <c r="L5" s="2296"/>
      <c r="M5" s="2297"/>
      <c r="N5" s="2297"/>
      <c r="O5" s="2297"/>
      <c r="P5" s="3652"/>
      <c r="Q5" s="3653"/>
      <c r="R5" s="3658"/>
      <c r="S5" s="3659"/>
      <c r="T5" s="3658"/>
      <c r="U5" s="3659"/>
      <c r="V5" s="3641"/>
      <c r="W5" s="3641"/>
      <c r="X5" s="3367"/>
      <c r="Y5" s="3658"/>
      <c r="Z5" s="3659"/>
      <c r="AA5" s="3644"/>
      <c r="AB5" s="3641"/>
      <c r="AC5" s="3644"/>
    </row>
    <row r="6" spans="1:29" ht="14.25" thickBot="1">
      <c r="A6" s="148"/>
      <c r="B6" s="149"/>
      <c r="C6" s="3662" t="s">
        <v>61</v>
      </c>
      <c r="D6" s="3663"/>
      <c r="E6" s="3669" t="s">
        <v>3142</v>
      </c>
      <c r="F6" s="3670"/>
      <c r="G6" s="3662" t="s">
        <v>3144</v>
      </c>
      <c r="H6" s="3663"/>
      <c r="I6" s="3662" t="s">
        <v>3203</v>
      </c>
      <c r="J6" s="3663"/>
      <c r="K6" s="187" t="s">
        <v>115</v>
      </c>
      <c r="L6" s="2296"/>
      <c r="M6" s="2297"/>
      <c r="N6" s="2297"/>
      <c r="O6" s="2297"/>
      <c r="P6" s="3654"/>
      <c r="Q6" s="3655"/>
      <c r="R6" s="3658"/>
      <c r="S6" s="3659"/>
      <c r="T6" s="3660"/>
      <c r="U6" s="3661"/>
      <c r="V6" s="3641"/>
      <c r="W6" s="3641"/>
      <c r="X6" s="3367"/>
      <c r="Y6" s="3660"/>
      <c r="Z6" s="3661"/>
      <c r="AA6" s="3645"/>
      <c r="AB6" s="3641"/>
      <c r="AC6" s="3645"/>
    </row>
    <row r="7" spans="1:29" s="40" customFormat="1" ht="15" thickBot="1">
      <c r="A7" s="1014" t="s">
        <v>62</v>
      </c>
      <c r="B7" s="1015"/>
      <c r="C7" s="1016">
        <f>'数据-取费表'!B2</f>
        <v>42997</v>
      </c>
      <c r="D7" s="754">
        <v>100</v>
      </c>
      <c r="E7" s="1017">
        <v>42979</v>
      </c>
      <c r="F7" s="756">
        <f>SUMIF(58:58,YEAR(E7)&amp;"-"&amp;MONTH(E7),59:59)</f>
        <v>100</v>
      </c>
      <c r="G7" s="1017">
        <v>42979</v>
      </c>
      <c r="H7" s="754">
        <f>SUMIF(58:58,YEAR(G7)&amp;"-"&amp;MONTH(G7),59:59)</f>
        <v>100</v>
      </c>
      <c r="I7" s="1017">
        <v>42979</v>
      </c>
      <c r="J7" s="754">
        <f>SUMIF(58:58,YEAR(I7)&amp;"-"&amp;MONTH(I7),59:59)</f>
        <v>100</v>
      </c>
      <c r="K7" s="1019"/>
      <c r="L7" s="2298"/>
      <c r="M7" s="2260"/>
      <c r="N7" s="2260"/>
      <c r="O7" s="2260"/>
      <c r="P7" s="3666" t="s">
        <v>62</v>
      </c>
      <c r="Q7" s="3668"/>
      <c r="R7" s="1342" t="s">
        <v>63</v>
      </c>
      <c r="S7" s="1343">
        <f t="shared" ref="S7:S15" si="0">F7</f>
        <v>100</v>
      </c>
      <c r="T7" s="1342" t="s">
        <v>63</v>
      </c>
      <c r="U7" s="1343">
        <f t="shared" ref="U7:U15" si="1">H7</f>
        <v>100</v>
      </c>
      <c r="V7" s="1342" t="s">
        <v>63</v>
      </c>
      <c r="W7" s="1343">
        <f t="shared" ref="W7:W15" si="2">J7</f>
        <v>100</v>
      </c>
      <c r="X7" s="287"/>
      <c r="Y7" s="3666" t="s">
        <v>62</v>
      </c>
      <c r="Z7" s="3667"/>
      <c r="AA7" s="1344">
        <f>D7/F7</f>
        <v>1</v>
      </c>
      <c r="AB7" s="1344">
        <f>D7/H7</f>
        <v>1</v>
      </c>
      <c r="AC7" s="1344">
        <f>D7/J7</f>
        <v>1</v>
      </c>
    </row>
    <row r="8" spans="1:29" s="40" customFormat="1" ht="15" thickBot="1">
      <c r="A8" s="1014" t="s">
        <v>64</v>
      </c>
      <c r="B8" s="1015"/>
      <c r="C8" s="1020" t="s">
        <v>114</v>
      </c>
      <c r="D8" s="754">
        <v>100</v>
      </c>
      <c r="E8" s="1020" t="s">
        <v>153</v>
      </c>
      <c r="F8" s="756">
        <f>SUMIF(61:61,E8,62:62)-SUMIF(61:61,C8,62:62)+100</f>
        <v>100</v>
      </c>
      <c r="G8" s="1020" t="s">
        <v>153</v>
      </c>
      <c r="H8" s="754">
        <f>SUMIF(61:61,G8,62:62)-SUMIF(61:61,C8,62:62)+100</f>
        <v>100</v>
      </c>
      <c r="I8" s="1020" t="s">
        <v>153</v>
      </c>
      <c r="J8" s="754">
        <f>SUMIF(61:61,I8,62:62)-SUMIF(61:61,C8,62:62)+100</f>
        <v>100</v>
      </c>
      <c r="K8" s="1019"/>
      <c r="L8" s="2298"/>
      <c r="M8" s="2260"/>
      <c r="N8" s="2260"/>
      <c r="O8" s="2260"/>
      <c r="P8" s="3666" t="s">
        <v>1020</v>
      </c>
      <c r="Q8" s="3667"/>
      <c r="R8" s="1342" t="s">
        <v>63</v>
      </c>
      <c r="S8" s="1343">
        <f t="shared" si="0"/>
        <v>100</v>
      </c>
      <c r="T8" s="1342" t="s">
        <v>63</v>
      </c>
      <c r="U8" s="1343">
        <f t="shared" si="1"/>
        <v>100</v>
      </c>
      <c r="V8" s="1342" t="s">
        <v>63</v>
      </c>
      <c r="W8" s="1343">
        <f t="shared" si="2"/>
        <v>100</v>
      </c>
      <c r="X8" s="287"/>
      <c r="Y8" s="3666" t="s">
        <v>1020</v>
      </c>
      <c r="Z8" s="3667"/>
      <c r="AA8" s="1344">
        <f t="shared" ref="AA8:AA46" si="3">D8/F8</f>
        <v>1</v>
      </c>
      <c r="AB8" s="1344">
        <f t="shared" ref="AB8:AB46" si="4">D8/H8</f>
        <v>1</v>
      </c>
      <c r="AC8" s="1344">
        <f t="shared" ref="AC8:AC46" si="5">D8/J8</f>
        <v>1</v>
      </c>
    </row>
    <row r="9" spans="1:29" s="40" customFormat="1" ht="14.25">
      <c r="A9" s="1021" t="s">
        <v>999</v>
      </c>
      <c r="B9" s="62" t="s">
        <v>1000</v>
      </c>
      <c r="C9" s="1346" t="s">
        <v>3146</v>
      </c>
      <c r="D9" s="425">
        <v>100</v>
      </c>
      <c r="E9" s="1347" t="s">
        <v>3042</v>
      </c>
      <c r="F9" s="761">
        <f>SUMIF(63:63,E9,64:64)-SUMIF(63:63,C9,64:64)+100</f>
        <v>100</v>
      </c>
      <c r="G9" s="1347" t="s">
        <v>3042</v>
      </c>
      <c r="H9" s="425">
        <f>SUMIF(63:63,G9,64:64)-SUMIF(63:63,C9,64:64)+100</f>
        <v>100</v>
      </c>
      <c r="I9" s="1347" t="s">
        <v>3042</v>
      </c>
      <c r="J9" s="425">
        <f>SUMIF(63:63,I9,64:64)-SUMIF(63:63,C9,64:64)+100</f>
        <v>100</v>
      </c>
      <c r="K9" s="1019"/>
      <c r="L9" s="2298"/>
      <c r="M9" s="2260"/>
      <c r="N9" s="2260"/>
      <c r="O9" s="2260"/>
      <c r="P9" s="3642" t="s">
        <v>65</v>
      </c>
      <c r="Q9" s="3364" t="str">
        <f t="shared" ref="Q9:Q15" si="6">B9</f>
        <v>用途</v>
      </c>
      <c r="R9" s="1342" t="s">
        <v>63</v>
      </c>
      <c r="S9" s="1343">
        <f t="shared" si="0"/>
        <v>100</v>
      </c>
      <c r="T9" s="1342" t="s">
        <v>63</v>
      </c>
      <c r="U9" s="1343">
        <f t="shared" si="1"/>
        <v>100</v>
      </c>
      <c r="V9" s="1342" t="s">
        <v>63</v>
      </c>
      <c r="W9" s="1343">
        <f t="shared" si="2"/>
        <v>100</v>
      </c>
      <c r="X9" s="287"/>
      <c r="Y9" s="3473" t="s">
        <v>65</v>
      </c>
      <c r="Z9" s="3365" t="str">
        <f t="shared" ref="Z9:Z15" si="7">Q9</f>
        <v>用途</v>
      </c>
      <c r="AA9" s="1344">
        <f t="shared" si="3"/>
        <v>1</v>
      </c>
      <c r="AB9" s="1344">
        <f t="shared" si="4"/>
        <v>1</v>
      </c>
      <c r="AC9" s="1344">
        <f t="shared" si="5"/>
        <v>1</v>
      </c>
    </row>
    <row r="10" spans="1:29" s="92" customFormat="1" ht="27">
      <c r="A10" s="150"/>
      <c r="B10" s="3366" t="s">
        <v>104</v>
      </c>
      <c r="C10" s="1349" t="s">
        <v>3147</v>
      </c>
      <c r="D10" s="426">
        <v>100</v>
      </c>
      <c r="E10" s="1350" t="s">
        <v>3147</v>
      </c>
      <c r="F10" s="768">
        <f>SUMIF(65:65,E10,66:66)-SUMIF(65:65,C10,66:66)+100</f>
        <v>100</v>
      </c>
      <c r="G10" s="1349" t="s">
        <v>3147</v>
      </c>
      <c r="H10" s="426">
        <f>SUMIF(65:65,G10,66:66)-SUMIF(65:65,C10,66:66)+100</f>
        <v>100</v>
      </c>
      <c r="I10" s="1349" t="s">
        <v>3147</v>
      </c>
      <c r="J10" s="426">
        <f>SUMIF(65:65,I10,66:66)-SUMIF(65:65,C10,66:66)+100</f>
        <v>100</v>
      </c>
      <c r="K10" s="955">
        <v>1</v>
      </c>
      <c r="L10" s="2299"/>
      <c r="M10" s="2300"/>
      <c r="N10" s="2300"/>
      <c r="O10" s="2300"/>
      <c r="P10" s="3642"/>
      <c r="Q10" s="3364" t="str">
        <f t="shared" si="6"/>
        <v>土地使用年限（年）</v>
      </c>
      <c r="R10" s="1342" t="s">
        <v>63</v>
      </c>
      <c r="S10" s="1343">
        <f t="shared" si="0"/>
        <v>100</v>
      </c>
      <c r="T10" s="1342" t="s">
        <v>63</v>
      </c>
      <c r="U10" s="1343">
        <f t="shared" si="1"/>
        <v>100</v>
      </c>
      <c r="V10" s="1342" t="s">
        <v>63</v>
      </c>
      <c r="W10" s="1343">
        <f t="shared" si="2"/>
        <v>100</v>
      </c>
      <c r="X10" s="287"/>
      <c r="Y10" s="3473"/>
      <c r="Z10" s="3365" t="str">
        <f t="shared" si="7"/>
        <v>土地使用年限（年）</v>
      </c>
      <c r="AA10" s="1344">
        <f t="shared" si="3"/>
        <v>1</v>
      </c>
      <c r="AB10" s="1344">
        <f t="shared" si="4"/>
        <v>1</v>
      </c>
      <c r="AC10" s="1344">
        <f t="shared" si="5"/>
        <v>1</v>
      </c>
    </row>
    <row r="11" spans="1:29" ht="15">
      <c r="A11" s="151"/>
      <c r="B11" s="3366" t="s">
        <v>91</v>
      </c>
      <c r="C11" s="772"/>
      <c r="D11" s="426">
        <v>100</v>
      </c>
      <c r="E11" s="773"/>
      <c r="F11" s="768">
        <f>LOOKUP(E11,68:68,69:69)-LOOKUP(C11,68:68,69:69)+100</f>
        <v>100</v>
      </c>
      <c r="G11" s="772"/>
      <c r="H11" s="426">
        <f>LOOKUP(G11,68:68,69:69)-LOOKUP(C11,68:68,69:69)+100</f>
        <v>100</v>
      </c>
      <c r="I11" s="772"/>
      <c r="J11" s="426">
        <f>LOOKUP(I11,68:68,69:69)-LOOKUP(C11,68:68,69:69)+100</f>
        <v>100</v>
      </c>
      <c r="K11" s="955">
        <v>2</v>
      </c>
      <c r="L11" s="2301"/>
      <c r="M11" s="2297"/>
      <c r="N11" s="2297"/>
      <c r="O11" s="2297"/>
      <c r="P11" s="3642"/>
      <c r="Q11" s="3364" t="str">
        <f t="shared" si="6"/>
        <v>容积率</v>
      </c>
      <c r="R11" s="1342" t="s">
        <v>63</v>
      </c>
      <c r="S11" s="1343">
        <f t="shared" si="0"/>
        <v>100</v>
      </c>
      <c r="T11" s="1342" t="s">
        <v>63</v>
      </c>
      <c r="U11" s="1343">
        <f t="shared" si="1"/>
        <v>100</v>
      </c>
      <c r="V11" s="1342" t="s">
        <v>63</v>
      </c>
      <c r="W11" s="1343">
        <f t="shared" si="2"/>
        <v>100</v>
      </c>
      <c r="X11" s="287"/>
      <c r="Y11" s="3473"/>
      <c r="Z11" s="3365" t="str">
        <f t="shared" si="7"/>
        <v>容积率</v>
      </c>
      <c r="AA11" s="1344">
        <f t="shared" si="3"/>
        <v>1</v>
      </c>
      <c r="AB11" s="1344">
        <f t="shared" si="4"/>
        <v>1</v>
      </c>
      <c r="AC11" s="1344">
        <f t="shared" si="5"/>
        <v>1</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42"/>
      <c r="Q12" s="3364">
        <f t="shared" si="6"/>
        <v>111</v>
      </c>
      <c r="R12" s="1342" t="s">
        <v>63</v>
      </c>
      <c r="S12" s="1343">
        <f t="shared" si="0"/>
        <v>100</v>
      </c>
      <c r="T12" s="1342" t="s">
        <v>63</v>
      </c>
      <c r="U12" s="1343">
        <f t="shared" si="1"/>
        <v>100</v>
      </c>
      <c r="V12" s="1342" t="s">
        <v>63</v>
      </c>
      <c r="W12" s="1343">
        <f t="shared" si="2"/>
        <v>100</v>
      </c>
      <c r="X12" s="287"/>
      <c r="Y12" s="3473"/>
      <c r="Z12" s="3365">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42"/>
      <c r="Q13" s="3364">
        <f t="shared" si="6"/>
        <v>111</v>
      </c>
      <c r="R13" s="1342" t="s">
        <v>63</v>
      </c>
      <c r="S13" s="1343">
        <f t="shared" si="0"/>
        <v>100</v>
      </c>
      <c r="T13" s="1342" t="s">
        <v>63</v>
      </c>
      <c r="U13" s="1343">
        <f t="shared" si="1"/>
        <v>100</v>
      </c>
      <c r="V13" s="1342" t="s">
        <v>63</v>
      </c>
      <c r="W13" s="1343">
        <f t="shared" si="2"/>
        <v>100</v>
      </c>
      <c r="X13" s="287"/>
      <c r="Y13" s="3473"/>
      <c r="Z13" s="3365">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42"/>
      <c r="Q14" s="3364">
        <f t="shared" si="6"/>
        <v>111</v>
      </c>
      <c r="R14" s="1342" t="s">
        <v>63</v>
      </c>
      <c r="S14" s="1343">
        <f t="shared" si="0"/>
        <v>100</v>
      </c>
      <c r="T14" s="1342" t="s">
        <v>63</v>
      </c>
      <c r="U14" s="1343">
        <f t="shared" si="1"/>
        <v>100</v>
      </c>
      <c r="V14" s="1342" t="s">
        <v>63</v>
      </c>
      <c r="W14" s="1343">
        <f t="shared" si="2"/>
        <v>100</v>
      </c>
      <c r="X14" s="287"/>
      <c r="Y14" s="3473"/>
      <c r="Z14" s="3365">
        <f t="shared" si="7"/>
        <v>111</v>
      </c>
      <c r="AA14" s="1344">
        <f t="shared" si="3"/>
        <v>1</v>
      </c>
      <c r="AB14" s="1344">
        <f t="shared" si="4"/>
        <v>1</v>
      </c>
      <c r="AC14" s="1344">
        <f t="shared" si="5"/>
        <v>1</v>
      </c>
    </row>
    <row r="15" spans="1:29" ht="67.5">
      <c r="A15" s="155" t="s">
        <v>67</v>
      </c>
      <c r="B15" s="58" t="s">
        <v>128</v>
      </c>
      <c r="C15" s="157" t="str">
        <f>估价对象房地状况!C4</f>
        <v>估价对象位于XX商圈，周边商业氛围成熟，人流量大，商业繁华度好</v>
      </c>
      <c r="D15" s="784">
        <v>100</v>
      </c>
      <c r="E15" s="95"/>
      <c r="F15" s="786">
        <f>SUMIF(76:76,E16,77:77)-SUMIF(76:76,C16,77:77)+100</f>
        <v>100</v>
      </c>
      <c r="G15" s="95" t="s">
        <v>3180</v>
      </c>
      <c r="H15" s="784">
        <f>SUMIF(76:76,G16,77:77)-SUMIF(76:76,C16,77:77)+100</f>
        <v>103</v>
      </c>
      <c r="I15" s="95" t="s">
        <v>3180</v>
      </c>
      <c r="J15" s="784">
        <f>SUMIF(76:76,I16,77:77)-SUMIF(76:76,C16,77:77)+100</f>
        <v>103</v>
      </c>
      <c r="K15" s="957">
        <v>3</v>
      </c>
      <c r="L15" s="2302"/>
      <c r="M15" s="2297"/>
      <c r="N15" s="2297"/>
      <c r="O15" s="2297"/>
      <c r="P15" s="3632" t="s">
        <v>67</v>
      </c>
      <c r="Q15" s="3369" t="str">
        <f t="shared" si="6"/>
        <v>商业繁华度</v>
      </c>
      <c r="R15" s="1352" t="s">
        <v>63</v>
      </c>
      <c r="S15" s="1353">
        <f t="shared" si="0"/>
        <v>100</v>
      </c>
      <c r="T15" s="1352" t="s">
        <v>63</v>
      </c>
      <c r="U15" s="1353">
        <f t="shared" si="1"/>
        <v>103</v>
      </c>
      <c r="V15" s="1352" t="s">
        <v>63</v>
      </c>
      <c r="W15" s="1353">
        <f t="shared" si="2"/>
        <v>103</v>
      </c>
      <c r="X15" s="3367"/>
      <c r="Y15" s="3634" t="s">
        <v>67</v>
      </c>
      <c r="Z15" s="3368" t="str">
        <f t="shared" si="7"/>
        <v>商业繁华度</v>
      </c>
      <c r="AA15" s="3370">
        <f t="shared" si="3"/>
        <v>1</v>
      </c>
      <c r="AB15" s="3370">
        <f t="shared" si="4"/>
        <v>0.970873786407767</v>
      </c>
      <c r="AC15" s="3370">
        <f t="shared" si="5"/>
        <v>0.970873786407767</v>
      </c>
    </row>
    <row r="16" spans="1:29" ht="14.25">
      <c r="A16" s="151"/>
      <c r="B16" s="156"/>
      <c r="C16" s="97" t="s">
        <v>3178</v>
      </c>
      <c r="D16" s="791"/>
      <c r="E16" s="97" t="s">
        <v>3178</v>
      </c>
      <c r="F16" s="792"/>
      <c r="G16" s="97" t="s">
        <v>3179</v>
      </c>
      <c r="H16" s="793"/>
      <c r="I16" s="97" t="s">
        <v>3179</v>
      </c>
      <c r="J16" s="791"/>
      <c r="K16" s="189"/>
      <c r="L16" s="2302"/>
      <c r="M16" s="2297"/>
      <c r="N16" s="2297"/>
      <c r="O16" s="2297"/>
      <c r="P16" s="3633"/>
      <c r="Q16" s="3369"/>
      <c r="R16" s="1352"/>
      <c r="S16" s="1353"/>
      <c r="T16" s="1352"/>
      <c r="U16" s="1353"/>
      <c r="V16" s="1352"/>
      <c r="W16" s="1353"/>
      <c r="X16" s="3367"/>
      <c r="Y16" s="3635"/>
      <c r="Z16" s="3368"/>
      <c r="AA16" s="3370">
        <v>1</v>
      </c>
      <c r="AB16" s="3370">
        <v>1</v>
      </c>
      <c r="AC16" s="3370">
        <v>1</v>
      </c>
    </row>
    <row r="17" spans="1:29" ht="81">
      <c r="A17" s="151"/>
      <c r="B17" s="1356" t="s">
        <v>70</v>
      </c>
      <c r="C17" s="158" t="str">
        <f>估价对象房地状况!C6</f>
        <v>估价对象周边道路状况、公共交通通达情况、停车便捷程度，综合评价交通便捷度较好</v>
      </c>
      <c r="D17" s="793">
        <v>100</v>
      </c>
      <c r="E17" s="100"/>
      <c r="F17" s="796">
        <f>SUMIF(78:78,E18,79:79)-SUMIF(78:78,C18,79:79)+100</f>
        <v>103</v>
      </c>
      <c r="G17" s="101"/>
      <c r="H17" s="798">
        <f>SUMIF(78:78,G18,79:79)-SUMIF(78:78,C18,79:79)+100</f>
        <v>103</v>
      </c>
      <c r="I17" s="100" t="s">
        <v>3181</v>
      </c>
      <c r="J17" s="798">
        <f>SUMIF(78:78,I18,79:79)-SUMIF(78:78,C18,79:79)+100</f>
        <v>103</v>
      </c>
      <c r="K17" s="957">
        <v>3</v>
      </c>
      <c r="L17" s="2302"/>
      <c r="M17" s="2297"/>
      <c r="N17" s="2297"/>
      <c r="O17" s="2297"/>
      <c r="P17" s="3633"/>
      <c r="Q17" s="3369" t="str">
        <f>B17</f>
        <v>交通便捷度</v>
      </c>
      <c r="R17" s="1352" t="s">
        <v>63</v>
      </c>
      <c r="S17" s="1353">
        <f>F17</f>
        <v>103</v>
      </c>
      <c r="T17" s="1352" t="s">
        <v>63</v>
      </c>
      <c r="U17" s="1353">
        <f>H17</f>
        <v>103</v>
      </c>
      <c r="V17" s="1352" t="s">
        <v>63</v>
      </c>
      <c r="W17" s="1353">
        <f>J17</f>
        <v>103</v>
      </c>
      <c r="X17" s="3367"/>
      <c r="Y17" s="3635"/>
      <c r="Z17" s="3368" t="str">
        <f>Q17</f>
        <v>交通便捷度</v>
      </c>
      <c r="AA17" s="3370">
        <f t="shared" si="3"/>
        <v>0.970873786407767</v>
      </c>
      <c r="AB17" s="3370">
        <f t="shared" si="4"/>
        <v>0.970873786407767</v>
      </c>
      <c r="AC17" s="3370">
        <f t="shared" si="5"/>
        <v>0.970873786407767</v>
      </c>
    </row>
    <row r="18" spans="1:29" ht="14.25">
      <c r="A18" s="151"/>
      <c r="B18" s="1040"/>
      <c r="C18" s="102" t="s">
        <v>3178</v>
      </c>
      <c r="D18" s="793"/>
      <c r="E18" s="103" t="s">
        <v>3179</v>
      </c>
      <c r="F18" s="796"/>
      <c r="G18" s="104" t="s">
        <v>3179</v>
      </c>
      <c r="H18" s="791"/>
      <c r="I18" s="103" t="s">
        <v>3179</v>
      </c>
      <c r="J18" s="791"/>
      <c r="K18" s="189"/>
      <c r="L18" s="2302"/>
      <c r="M18" s="2297"/>
      <c r="N18" s="2297"/>
      <c r="O18" s="2297"/>
      <c r="P18" s="3633"/>
      <c r="Q18" s="3369"/>
      <c r="R18" s="1352"/>
      <c r="S18" s="1353"/>
      <c r="T18" s="1352"/>
      <c r="U18" s="1353"/>
      <c r="V18" s="1352"/>
      <c r="W18" s="1353"/>
      <c r="X18" s="3367"/>
      <c r="Y18" s="3635"/>
      <c r="Z18" s="3368"/>
      <c r="AA18" s="3370">
        <v>1</v>
      </c>
      <c r="AB18" s="3370">
        <v>1</v>
      </c>
      <c r="AC18" s="3370">
        <v>1</v>
      </c>
    </row>
    <row r="19" spans="1:29" ht="40.5">
      <c r="A19" s="151"/>
      <c r="B19" s="1356" t="s">
        <v>2651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v>2</v>
      </c>
      <c r="L19" s="2302"/>
      <c r="M19" s="2297"/>
      <c r="N19" s="2297"/>
      <c r="O19" s="2297"/>
      <c r="P19" s="3633"/>
      <c r="Q19" s="3369" t="str">
        <f>B19</f>
        <v>公共配套设施</v>
      </c>
      <c r="R19" s="1352" t="s">
        <v>63</v>
      </c>
      <c r="S19" s="1353">
        <f>F19</f>
        <v>100</v>
      </c>
      <c r="T19" s="1352" t="s">
        <v>63</v>
      </c>
      <c r="U19" s="1353">
        <f>H19</f>
        <v>100</v>
      </c>
      <c r="V19" s="1352" t="s">
        <v>63</v>
      </c>
      <c r="W19" s="1353">
        <f>J19</f>
        <v>100</v>
      </c>
      <c r="X19" s="3367"/>
      <c r="Y19" s="3635"/>
      <c r="Z19" s="3368" t="str">
        <f>Q19</f>
        <v>公共配套设施</v>
      </c>
      <c r="AA19" s="3370">
        <f t="shared" si="3"/>
        <v>1</v>
      </c>
      <c r="AB19" s="3370">
        <f t="shared" si="4"/>
        <v>1</v>
      </c>
      <c r="AC19" s="3370">
        <f t="shared" si="5"/>
        <v>1</v>
      </c>
    </row>
    <row r="20" spans="1:29" ht="14.25">
      <c r="A20" s="151"/>
      <c r="B20" s="1040"/>
      <c r="C20" s="97" t="s">
        <v>3179</v>
      </c>
      <c r="D20" s="791"/>
      <c r="E20" s="98" t="s">
        <v>3179</v>
      </c>
      <c r="F20" s="792"/>
      <c r="G20" s="99" t="s">
        <v>3179</v>
      </c>
      <c r="H20" s="791"/>
      <c r="I20" s="98" t="s">
        <v>3179</v>
      </c>
      <c r="J20" s="791"/>
      <c r="K20" s="189"/>
      <c r="L20" s="2302"/>
      <c r="M20" s="2297"/>
      <c r="N20" s="2297"/>
      <c r="O20" s="2297"/>
      <c r="P20" s="3633"/>
      <c r="Q20" s="3369"/>
      <c r="R20" s="1352"/>
      <c r="S20" s="1353"/>
      <c r="T20" s="1352"/>
      <c r="U20" s="1353"/>
      <c r="V20" s="1352"/>
      <c r="W20" s="1353"/>
      <c r="X20" s="3367"/>
      <c r="Y20" s="3635"/>
      <c r="Z20" s="3368"/>
      <c r="AA20" s="3370">
        <v>1</v>
      </c>
      <c r="AB20" s="3370">
        <v>1</v>
      </c>
      <c r="AC20" s="3370">
        <v>1</v>
      </c>
    </row>
    <row r="21" spans="1:29" ht="27">
      <c r="A21" s="151"/>
      <c r="B21" s="1412" t="s">
        <v>2652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v>2</v>
      </c>
      <c r="L21" s="2302"/>
      <c r="M21" s="2297"/>
      <c r="N21" s="2297"/>
      <c r="O21" s="2297"/>
      <c r="P21" s="3633"/>
      <c r="Q21" s="3369" t="str">
        <f>B21</f>
        <v>基础设施水平</v>
      </c>
      <c r="R21" s="1352" t="s">
        <v>63</v>
      </c>
      <c r="S21" s="1353">
        <f>F21</f>
        <v>100</v>
      </c>
      <c r="T21" s="1352" t="s">
        <v>63</v>
      </c>
      <c r="U21" s="1353">
        <f>H21</f>
        <v>100</v>
      </c>
      <c r="V21" s="1352" t="s">
        <v>63</v>
      </c>
      <c r="W21" s="1353">
        <f>J21</f>
        <v>100</v>
      </c>
      <c r="X21" s="3367"/>
      <c r="Y21" s="3635"/>
      <c r="Z21" s="3368" t="str">
        <f>Q21</f>
        <v>基础设施水平</v>
      </c>
      <c r="AA21" s="3370">
        <f t="shared" ref="AA21" si="8">D21/F21</f>
        <v>1</v>
      </c>
      <c r="AB21" s="3370">
        <f t="shared" ref="AB21" si="9">D21/H21</f>
        <v>1</v>
      </c>
      <c r="AC21" s="3370">
        <f t="shared" ref="AC21" si="10">D21/J21</f>
        <v>1</v>
      </c>
    </row>
    <row r="22" spans="1:29" ht="14.25">
      <c r="A22" s="151"/>
      <c r="B22" s="1412"/>
      <c r="C22" s="102" t="s">
        <v>3182</v>
      </c>
      <c r="D22" s="791"/>
      <c r="E22" s="97" t="s">
        <v>3182</v>
      </c>
      <c r="F22" s="792"/>
      <c r="G22" s="97" t="s">
        <v>3182</v>
      </c>
      <c r="H22" s="791"/>
      <c r="I22" s="97" t="s">
        <v>3182</v>
      </c>
      <c r="J22" s="791"/>
      <c r="K22" s="2767"/>
      <c r="L22" s="2302"/>
      <c r="M22" s="2297"/>
      <c r="N22" s="2297"/>
      <c r="O22" s="2297"/>
      <c r="P22" s="3633"/>
      <c r="Q22" s="3369"/>
      <c r="R22" s="1352"/>
      <c r="S22" s="1353"/>
      <c r="T22" s="1352"/>
      <c r="U22" s="1353"/>
      <c r="V22" s="1352"/>
      <c r="W22" s="1353"/>
      <c r="X22" s="3367"/>
      <c r="Y22" s="3635"/>
      <c r="Z22" s="3368"/>
      <c r="AA22" s="3370">
        <v>1</v>
      </c>
      <c r="AB22" s="3370">
        <v>1</v>
      </c>
      <c r="AC22" s="3370">
        <v>1</v>
      </c>
    </row>
    <row r="23" spans="1:29" ht="54">
      <c r="A23" s="151"/>
      <c r="B23" s="1356" t="s">
        <v>71</v>
      </c>
      <c r="C23" s="190" t="str">
        <f>估价对象房地状况!C9</f>
        <v>区域自然环境：；人文环境；综合评价环境状况一般</v>
      </c>
      <c r="D23" s="793">
        <v>100</v>
      </c>
      <c r="E23" s="100"/>
      <c r="F23" s="796">
        <f>SUMIF(84:84,E24,85:85)-SUMIF(84:84,C24,85:85)+100</f>
        <v>103</v>
      </c>
      <c r="G23" s="101"/>
      <c r="H23" s="793">
        <f>SUMIF(84:84,G24,85:85)-SUMIF(84:84,C24,85:85)+100</f>
        <v>103</v>
      </c>
      <c r="I23" s="100"/>
      <c r="J23" s="793">
        <f>SUMIF(84:84,I24,85:85)-SUMIF(84:84,C24,85:85)+100</f>
        <v>103</v>
      </c>
      <c r="K23" s="957">
        <v>3</v>
      </c>
      <c r="L23" s="2302"/>
      <c r="M23" s="2297"/>
      <c r="N23" s="2297"/>
      <c r="O23" s="2297"/>
      <c r="P23" s="3633"/>
      <c r="Q23" s="3369" t="str">
        <f>B23</f>
        <v>自然及人文环境</v>
      </c>
      <c r="R23" s="1352" t="s">
        <v>63</v>
      </c>
      <c r="S23" s="1353">
        <f>F23</f>
        <v>103</v>
      </c>
      <c r="T23" s="1352" t="s">
        <v>63</v>
      </c>
      <c r="U23" s="1353">
        <f>H23</f>
        <v>103</v>
      </c>
      <c r="V23" s="1352" t="s">
        <v>63</v>
      </c>
      <c r="W23" s="1353">
        <f>J23</f>
        <v>103</v>
      </c>
      <c r="X23" s="3367"/>
      <c r="Y23" s="3635"/>
      <c r="Z23" s="3368" t="str">
        <f>Q23</f>
        <v>自然及人文环境</v>
      </c>
      <c r="AA23" s="3370">
        <f t="shared" si="3"/>
        <v>0.970873786407767</v>
      </c>
      <c r="AB23" s="3370">
        <f t="shared" si="4"/>
        <v>0.970873786407767</v>
      </c>
      <c r="AC23" s="3370">
        <f t="shared" si="5"/>
        <v>0.970873786407767</v>
      </c>
    </row>
    <row r="24" spans="1:29" ht="14.25">
      <c r="A24" s="151"/>
      <c r="B24" s="1040"/>
      <c r="C24" s="97" t="s">
        <v>3178</v>
      </c>
      <c r="D24" s="791"/>
      <c r="E24" s="98" t="s">
        <v>3179</v>
      </c>
      <c r="F24" s="792"/>
      <c r="G24" s="99" t="s">
        <v>3179</v>
      </c>
      <c r="H24" s="791"/>
      <c r="I24" s="98" t="s">
        <v>3179</v>
      </c>
      <c r="J24" s="791"/>
      <c r="K24" s="189"/>
      <c r="L24" s="2302"/>
      <c r="M24" s="2297"/>
      <c r="N24" s="2297"/>
      <c r="O24" s="2297"/>
      <c r="P24" s="3633"/>
      <c r="Q24" s="3369"/>
      <c r="R24" s="1352"/>
      <c r="S24" s="1353"/>
      <c r="T24" s="1352"/>
      <c r="U24" s="1353"/>
      <c r="V24" s="1352"/>
      <c r="W24" s="1353"/>
      <c r="X24" s="3367"/>
      <c r="Y24" s="3635"/>
      <c r="Z24" s="3368"/>
      <c r="AA24" s="3370">
        <v>1</v>
      </c>
      <c r="AB24" s="3370">
        <v>1</v>
      </c>
      <c r="AC24" s="3370">
        <v>1</v>
      </c>
    </row>
    <row r="25" spans="1:29" ht="15">
      <c r="A25" s="151"/>
      <c r="B25" s="3366" t="s">
        <v>129</v>
      </c>
      <c r="C25" s="182" t="s">
        <v>3183</v>
      </c>
      <c r="D25" s="778">
        <v>100</v>
      </c>
      <c r="E25" s="182" t="s">
        <v>3183</v>
      </c>
      <c r="F25" s="804">
        <f>SUMIF(86:86,E25,87:87)-SUMIF(86:86,C25,87:87)+100</f>
        <v>100</v>
      </c>
      <c r="G25" s="182" t="s">
        <v>3183</v>
      </c>
      <c r="H25" s="778">
        <f>SUMIF(86:86,G25,87:87)-SUMIF(86:86,C25,87:87)+100</f>
        <v>100</v>
      </c>
      <c r="I25" s="182" t="s">
        <v>3183</v>
      </c>
      <c r="J25" s="778">
        <f>SUMIF(86:86,I25,87:87)-SUMIF(86:86,C25,87:87)+100</f>
        <v>100</v>
      </c>
      <c r="K25" s="955">
        <v>3</v>
      </c>
      <c r="L25" s="2302"/>
      <c r="M25" s="2297"/>
      <c r="N25" s="2297"/>
      <c r="O25" s="2297"/>
      <c r="P25" s="3633"/>
      <c r="Q25" s="3369" t="str">
        <f t="shared" ref="Q25:Q46" si="11">B25</f>
        <v>临街状况</v>
      </c>
      <c r="R25" s="1352" t="s">
        <v>63</v>
      </c>
      <c r="S25" s="1353">
        <f>F25</f>
        <v>100</v>
      </c>
      <c r="T25" s="1352" t="s">
        <v>63</v>
      </c>
      <c r="U25" s="1353">
        <f>H25</f>
        <v>100</v>
      </c>
      <c r="V25" s="1352" t="s">
        <v>63</v>
      </c>
      <c r="W25" s="1353">
        <f>J25</f>
        <v>100</v>
      </c>
      <c r="X25" s="3367"/>
      <c r="Y25" s="3635"/>
      <c r="Z25" s="3368" t="str">
        <f>Q25</f>
        <v>临街状况</v>
      </c>
      <c r="AA25" s="3370">
        <f t="shared" si="3"/>
        <v>1</v>
      </c>
      <c r="AB25" s="3370">
        <f t="shared" si="4"/>
        <v>1</v>
      </c>
      <c r="AC25" s="3370">
        <f t="shared" si="5"/>
        <v>1</v>
      </c>
    </row>
    <row r="26" spans="1:29" ht="14.25">
      <c r="A26" s="151"/>
      <c r="B26" s="1357" t="s">
        <v>1023</v>
      </c>
      <c r="C26" s="93" t="s">
        <v>3197</v>
      </c>
      <c r="D26" s="778">
        <v>100</v>
      </c>
      <c r="E26" s="93" t="s">
        <v>3197</v>
      </c>
      <c r="F26" s="804">
        <f>SUMIF(88:88,E26,89:89)-SUMIF(88:88,C26,89:89)+100</f>
        <v>100</v>
      </c>
      <c r="G26" s="93" t="s">
        <v>3197</v>
      </c>
      <c r="H26" s="778">
        <f>SUMIF(88:88,G26,89:89)-SUMIF(88:88,C26,89:89)+100</f>
        <v>100</v>
      </c>
      <c r="I26" s="93" t="s">
        <v>3197</v>
      </c>
      <c r="J26" s="778">
        <f>SUMIF(88:88,I26,89:89)-SUMIF(88:88,C26,89:89)+100</f>
        <v>100</v>
      </c>
      <c r="K26" s="188"/>
      <c r="L26" s="2302"/>
      <c r="M26" s="2297"/>
      <c r="N26" s="2297"/>
      <c r="O26" s="2297"/>
      <c r="P26" s="3633"/>
      <c r="Q26" s="3369" t="str">
        <f t="shared" si="11"/>
        <v>平面位置/可视性</v>
      </c>
      <c r="R26" s="1352" t="s">
        <v>63</v>
      </c>
      <c r="S26" s="1353">
        <f>F26</f>
        <v>100</v>
      </c>
      <c r="T26" s="1352" t="s">
        <v>63</v>
      </c>
      <c r="U26" s="1353">
        <f>H26</f>
        <v>100</v>
      </c>
      <c r="V26" s="1352" t="s">
        <v>63</v>
      </c>
      <c r="W26" s="1353">
        <f>J26</f>
        <v>100</v>
      </c>
      <c r="X26" s="3367"/>
      <c r="Y26" s="3635"/>
      <c r="Z26" s="3368" t="str">
        <f>Q26</f>
        <v>平面位置/可视性</v>
      </c>
      <c r="AA26" s="3370">
        <f t="shared" si="3"/>
        <v>1</v>
      </c>
      <c r="AB26" s="3370">
        <f t="shared" si="4"/>
        <v>1</v>
      </c>
      <c r="AC26" s="3370">
        <f t="shared" si="5"/>
        <v>1</v>
      </c>
    </row>
    <row r="27" spans="1:29" s="40" customFormat="1" ht="15">
      <c r="A27" s="1030"/>
      <c r="B27" s="1356" t="s">
        <v>1024</v>
      </c>
      <c r="C27" s="1387" t="s">
        <v>3187</v>
      </c>
      <c r="D27" s="805">
        <v>100</v>
      </c>
      <c r="E27" s="1387" t="s">
        <v>3188</v>
      </c>
      <c r="F27" s="807">
        <f>SUMIF(90:90,E27,91:91)-SUMIF(90:90,C27,91:91)+100</f>
        <v>102</v>
      </c>
      <c r="G27" s="1387" t="s">
        <v>3188</v>
      </c>
      <c r="H27" s="805">
        <f>SUMIF(90:90,G27,91:91)-SUMIF(90:90,C27,91:91)+100</f>
        <v>102</v>
      </c>
      <c r="I27" s="1387" t="s">
        <v>3188</v>
      </c>
      <c r="J27" s="805">
        <f>SUMIF(90:90,I27,91:91)-SUMIF(90:90,C27,91:91)+100</f>
        <v>102</v>
      </c>
      <c r="K27" s="955">
        <v>2</v>
      </c>
      <c r="L27" s="2298"/>
      <c r="M27" s="2260"/>
      <c r="N27" s="2260"/>
      <c r="O27" s="2260"/>
      <c r="P27" s="3633"/>
      <c r="Q27" s="3364" t="str">
        <f t="shared" si="11"/>
        <v>人流量</v>
      </c>
      <c r="R27" s="1342" t="s">
        <v>63</v>
      </c>
      <c r="S27" s="1343">
        <f>F27</f>
        <v>102</v>
      </c>
      <c r="T27" s="1342" t="s">
        <v>63</v>
      </c>
      <c r="U27" s="1343">
        <f>H27</f>
        <v>102</v>
      </c>
      <c r="V27" s="1342" t="s">
        <v>63</v>
      </c>
      <c r="W27" s="1343">
        <f>J27</f>
        <v>102</v>
      </c>
      <c r="X27" s="287"/>
      <c r="Y27" s="3635"/>
      <c r="Z27" s="3365" t="str">
        <f>Q27</f>
        <v>人流量</v>
      </c>
      <c r="AA27" s="3370">
        <f>D27/F27</f>
        <v>0.98039215686274506</v>
      </c>
      <c r="AB27" s="3370">
        <f>D27/H27</f>
        <v>0.98039215686274506</v>
      </c>
      <c r="AC27" s="3370">
        <f>D27/J27</f>
        <v>0.98039215686274506</v>
      </c>
    </row>
    <row r="28" spans="1:29" ht="14.25">
      <c r="A28" s="151"/>
      <c r="B28" s="3366" t="s">
        <v>130</v>
      </c>
      <c r="C28" s="182" t="s">
        <v>3067</v>
      </c>
      <c r="D28" s="778">
        <v>100</v>
      </c>
      <c r="E28" s="182" t="s">
        <v>3067</v>
      </c>
      <c r="F28" s="804">
        <f>SUMIF(92:92,E28,93:93)-SUMIF(92:92,C28,93:93)+100</f>
        <v>100</v>
      </c>
      <c r="G28" s="182" t="s">
        <v>3067</v>
      </c>
      <c r="H28" s="778">
        <f>SUMIF(92:92,G28,93:93)-SUMIF(92:92,C28,93:93)+100</f>
        <v>100</v>
      </c>
      <c r="I28" s="182" t="s">
        <v>3067</v>
      </c>
      <c r="J28" s="778">
        <f>SUMIF(92:92,I28,93:93)-SUMIF(92:92,C28,93:93)+100</f>
        <v>100</v>
      </c>
      <c r="K28" s="188"/>
      <c r="L28" s="2302"/>
      <c r="M28" s="2297"/>
      <c r="N28" s="2297"/>
      <c r="O28" s="2297"/>
      <c r="P28" s="3633"/>
      <c r="Q28" s="3369" t="str">
        <f t="shared" si="11"/>
        <v>楼层</v>
      </c>
      <c r="R28" s="1352" t="s">
        <v>63</v>
      </c>
      <c r="S28" s="1353">
        <f t="shared" ref="S28:S46" si="12">F28</f>
        <v>100</v>
      </c>
      <c r="T28" s="1352" t="s">
        <v>63</v>
      </c>
      <c r="U28" s="1353">
        <f t="shared" ref="U28:U46" si="13">H28</f>
        <v>100</v>
      </c>
      <c r="V28" s="1352" t="s">
        <v>63</v>
      </c>
      <c r="W28" s="1353">
        <f t="shared" ref="W28:W46" si="14">J28</f>
        <v>100</v>
      </c>
      <c r="X28" s="3367"/>
      <c r="Y28" s="3635"/>
      <c r="Z28" s="3368" t="str">
        <f t="shared" ref="Z28:Z46" si="15">Q28</f>
        <v>楼层</v>
      </c>
      <c r="AA28" s="3370">
        <f t="shared" si="3"/>
        <v>1</v>
      </c>
      <c r="AB28" s="3370">
        <f t="shared" si="4"/>
        <v>1</v>
      </c>
      <c r="AC28" s="3370">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33"/>
      <c r="Q29" s="3369">
        <f t="shared" si="11"/>
        <v>111</v>
      </c>
      <c r="R29" s="1352" t="s">
        <v>63</v>
      </c>
      <c r="S29" s="1353">
        <f t="shared" si="12"/>
        <v>100</v>
      </c>
      <c r="T29" s="1352" t="s">
        <v>63</v>
      </c>
      <c r="U29" s="1353">
        <f t="shared" si="13"/>
        <v>100</v>
      </c>
      <c r="V29" s="1352" t="s">
        <v>63</v>
      </c>
      <c r="W29" s="1353">
        <f t="shared" si="14"/>
        <v>100</v>
      </c>
      <c r="X29" s="3367"/>
      <c r="Y29" s="3635"/>
      <c r="Z29" s="3368">
        <f t="shared" si="15"/>
        <v>111</v>
      </c>
      <c r="AA29" s="3370">
        <f t="shared" si="3"/>
        <v>1</v>
      </c>
      <c r="AB29" s="3370">
        <f t="shared" si="4"/>
        <v>1</v>
      </c>
      <c r="AC29" s="3370">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33"/>
      <c r="Q30" s="3369">
        <f t="shared" si="11"/>
        <v>111</v>
      </c>
      <c r="R30" s="1352" t="s">
        <v>63</v>
      </c>
      <c r="S30" s="1353">
        <f t="shared" si="12"/>
        <v>100</v>
      </c>
      <c r="T30" s="1352" t="s">
        <v>63</v>
      </c>
      <c r="U30" s="1353">
        <f t="shared" si="13"/>
        <v>100</v>
      </c>
      <c r="V30" s="1352" t="s">
        <v>63</v>
      </c>
      <c r="W30" s="1353">
        <f t="shared" si="14"/>
        <v>100</v>
      </c>
      <c r="X30" s="3367"/>
      <c r="Y30" s="3635"/>
      <c r="Z30" s="3368">
        <f t="shared" si="15"/>
        <v>111</v>
      </c>
      <c r="AA30" s="3370">
        <f t="shared" si="3"/>
        <v>1</v>
      </c>
      <c r="AB30" s="3370">
        <f t="shared" si="4"/>
        <v>1</v>
      </c>
      <c r="AC30" s="3370">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33"/>
      <c r="Q31" s="3369">
        <f t="shared" si="11"/>
        <v>111</v>
      </c>
      <c r="R31" s="1352" t="s">
        <v>63</v>
      </c>
      <c r="S31" s="1353">
        <f t="shared" si="12"/>
        <v>100</v>
      </c>
      <c r="T31" s="1352" t="s">
        <v>63</v>
      </c>
      <c r="U31" s="1353">
        <f t="shared" si="13"/>
        <v>100</v>
      </c>
      <c r="V31" s="1352" t="s">
        <v>63</v>
      </c>
      <c r="W31" s="1353">
        <f t="shared" si="14"/>
        <v>100</v>
      </c>
      <c r="X31" s="3367"/>
      <c r="Y31" s="3635"/>
      <c r="Z31" s="3368">
        <f t="shared" si="15"/>
        <v>111</v>
      </c>
      <c r="AA31" s="3370">
        <f t="shared" si="3"/>
        <v>1</v>
      </c>
      <c r="AB31" s="3370">
        <f t="shared" si="4"/>
        <v>1</v>
      </c>
      <c r="AC31" s="3370">
        <f t="shared" si="5"/>
        <v>1</v>
      </c>
    </row>
    <row r="32" spans="1:29" ht="15">
      <c r="A32" s="155" t="s">
        <v>1025</v>
      </c>
      <c r="B32" s="62" t="s">
        <v>1026</v>
      </c>
      <c r="C32" s="110" t="s">
        <v>3210</v>
      </c>
      <c r="D32" s="810">
        <v>100</v>
      </c>
      <c r="E32" s="110" t="s">
        <v>3191</v>
      </c>
      <c r="F32" s="804">
        <f>SUMIF(100:100,E32,101:101)-SUMIF(100:100,C32,101:101)+100</f>
        <v>97</v>
      </c>
      <c r="G32" s="110" t="s">
        <v>3189</v>
      </c>
      <c r="H32" s="778">
        <f>SUMIF(100:100,G32,101:101)-SUMIF(100:100,C32,101:101)+100</f>
        <v>98</v>
      </c>
      <c r="I32" s="110" t="s">
        <v>3189</v>
      </c>
      <c r="J32" s="810">
        <f>SUMIF(100:100,I32,101:101)-SUMIF(100:100,C32,101:101)+100</f>
        <v>98</v>
      </c>
      <c r="K32" s="955">
        <v>1</v>
      </c>
      <c r="L32" s="2302"/>
      <c r="M32" s="2297"/>
      <c r="N32" s="2297"/>
      <c r="O32" s="2297"/>
      <c r="P32" s="3636" t="s">
        <v>1001</v>
      </c>
      <c r="Q32" s="3369" t="str">
        <f t="shared" si="11"/>
        <v>商业类型</v>
      </c>
      <c r="R32" s="1352" t="s">
        <v>63</v>
      </c>
      <c r="S32" s="1353">
        <f t="shared" si="12"/>
        <v>97</v>
      </c>
      <c r="T32" s="1352" t="s">
        <v>63</v>
      </c>
      <c r="U32" s="1353">
        <f t="shared" si="13"/>
        <v>98</v>
      </c>
      <c r="V32" s="1352" t="s">
        <v>63</v>
      </c>
      <c r="W32" s="1353">
        <f t="shared" si="14"/>
        <v>98</v>
      </c>
      <c r="X32" s="3367"/>
      <c r="Y32" s="3639" t="s">
        <v>1001</v>
      </c>
      <c r="Z32" s="3368" t="str">
        <f t="shared" si="15"/>
        <v>商业类型</v>
      </c>
      <c r="AA32" s="3370">
        <f t="shared" si="3"/>
        <v>1.0309278350515463</v>
      </c>
      <c r="AB32" s="3370">
        <f t="shared" si="4"/>
        <v>1.0204081632653061</v>
      </c>
      <c r="AC32" s="3370">
        <f t="shared" si="5"/>
        <v>1.0204081632653061</v>
      </c>
    </row>
    <row r="33" spans="1:29" s="1039" customFormat="1" ht="14.25">
      <c r="A33" s="1043"/>
      <c r="B33" s="3366" t="s">
        <v>74</v>
      </c>
      <c r="C33" s="812">
        <v>1154.3699999999999</v>
      </c>
      <c r="D33" s="426">
        <v>100</v>
      </c>
      <c r="E33" s="773">
        <v>240</v>
      </c>
      <c r="F33" s="768">
        <f>LOOKUP(E33,103:103,104:104)-LOOKUP(C33,103:103,104:104)+100</f>
        <v>104</v>
      </c>
      <c r="G33" s="772">
        <v>265</v>
      </c>
      <c r="H33" s="426">
        <f>LOOKUP(G33,103:103,104:104)-LOOKUP(C33,103:103,104:104)+100</f>
        <v>104</v>
      </c>
      <c r="I33" s="772">
        <v>190</v>
      </c>
      <c r="J33" s="426">
        <f>LOOKUP(I33,103:103,104:104)-LOOKUP(C33,103:103,104:104)+100</f>
        <v>104</v>
      </c>
      <c r="K33" s="188"/>
      <c r="L33" s="2301"/>
      <c r="M33" s="2303"/>
      <c r="N33" s="2303"/>
      <c r="O33" s="2303"/>
      <c r="P33" s="3637"/>
      <c r="Q33" s="1359" t="str">
        <f t="shared" si="11"/>
        <v>项目建筑规模</v>
      </c>
      <c r="R33" s="1360" t="s">
        <v>63</v>
      </c>
      <c r="S33" s="1361">
        <f t="shared" si="12"/>
        <v>104</v>
      </c>
      <c r="T33" s="1360" t="s">
        <v>63</v>
      </c>
      <c r="U33" s="1361">
        <f t="shared" si="13"/>
        <v>104</v>
      </c>
      <c r="V33" s="1360" t="s">
        <v>63</v>
      </c>
      <c r="W33" s="1361">
        <f t="shared" si="14"/>
        <v>104</v>
      </c>
      <c r="X33" s="1362"/>
      <c r="Y33" s="3639"/>
      <c r="Z33" s="1363" t="str">
        <f t="shared" si="15"/>
        <v>项目建筑规模</v>
      </c>
      <c r="AA33" s="3370">
        <f t="shared" si="3"/>
        <v>0.96153846153846156</v>
      </c>
      <c r="AB33" s="3370">
        <f t="shared" si="4"/>
        <v>0.96153846153846156</v>
      </c>
      <c r="AC33" s="3370">
        <f t="shared" si="5"/>
        <v>0.96153846153846156</v>
      </c>
    </row>
    <row r="34" spans="1:29" ht="15">
      <c r="A34" s="161"/>
      <c r="B34" s="3366" t="s">
        <v>75</v>
      </c>
      <c r="C34" s="112" t="s">
        <v>3072</v>
      </c>
      <c r="D34" s="778">
        <v>100</v>
      </c>
      <c r="E34" s="112" t="s">
        <v>3072</v>
      </c>
      <c r="F34" s="804">
        <f>SUMIF(105:105,E34,106:106)-SUMIF(105:105,C34,106:106)+100</f>
        <v>100</v>
      </c>
      <c r="G34" s="112" t="s">
        <v>3072</v>
      </c>
      <c r="H34" s="778">
        <f>SUMIF(105:105,G34,106:106)-SUMIF(105:105,C34,106:106)+100</f>
        <v>100</v>
      </c>
      <c r="I34" s="112" t="s">
        <v>3072</v>
      </c>
      <c r="J34" s="778">
        <f>SUMIF(105:105,I34,106:106)-SUMIF(105:105,C34,106:106)+100</f>
        <v>100</v>
      </c>
      <c r="K34" s="955">
        <v>2</v>
      </c>
      <c r="L34" s="2302"/>
      <c r="M34" s="2297"/>
      <c r="N34" s="2297"/>
      <c r="O34" s="2297"/>
      <c r="P34" s="3637"/>
      <c r="Q34" s="3369" t="str">
        <f t="shared" si="11"/>
        <v>建筑结构</v>
      </c>
      <c r="R34" s="1352" t="s">
        <v>63</v>
      </c>
      <c r="S34" s="1353">
        <f t="shared" si="12"/>
        <v>100</v>
      </c>
      <c r="T34" s="1352" t="s">
        <v>63</v>
      </c>
      <c r="U34" s="1353">
        <f t="shared" si="13"/>
        <v>100</v>
      </c>
      <c r="V34" s="1352" t="s">
        <v>63</v>
      </c>
      <c r="W34" s="1353">
        <f t="shared" si="14"/>
        <v>100</v>
      </c>
      <c r="X34" s="3367"/>
      <c r="Y34" s="3639"/>
      <c r="Z34" s="3368" t="str">
        <f t="shared" si="15"/>
        <v>建筑结构</v>
      </c>
      <c r="AA34" s="3370">
        <f t="shared" si="3"/>
        <v>1</v>
      </c>
      <c r="AB34" s="3370">
        <f t="shared" si="4"/>
        <v>1</v>
      </c>
      <c r="AC34" s="3370">
        <f t="shared" si="5"/>
        <v>1</v>
      </c>
    </row>
    <row r="35" spans="1:29" ht="15">
      <c r="A35" s="161"/>
      <c r="B35" s="3366" t="s">
        <v>131</v>
      </c>
      <c r="C35" s="109" t="s">
        <v>3193</v>
      </c>
      <c r="D35" s="778">
        <v>100</v>
      </c>
      <c r="E35" s="109" t="s">
        <v>3193</v>
      </c>
      <c r="F35" s="804">
        <f>SUMIF(107:107,E35,108:108)-SUMIF(107:107,C35,108:108)+100</f>
        <v>100</v>
      </c>
      <c r="G35" s="109" t="s">
        <v>3193</v>
      </c>
      <c r="H35" s="778">
        <f>SUMIF(107:107,G35,108:108)-SUMIF(107:107,C35,108:108)+100</f>
        <v>100</v>
      </c>
      <c r="I35" s="109" t="s">
        <v>3193</v>
      </c>
      <c r="J35" s="778">
        <f>SUMIF(107:107,I35,108:108)-SUMIF(107:107,C35,108:108)+100</f>
        <v>100</v>
      </c>
      <c r="K35" s="955">
        <v>2</v>
      </c>
      <c r="L35" s="2302"/>
      <c r="M35" s="2297"/>
      <c r="N35" s="2297"/>
      <c r="O35" s="2297"/>
      <c r="P35" s="3637"/>
      <c r="Q35" s="3369" t="str">
        <f t="shared" si="11"/>
        <v>公共部分装修</v>
      </c>
      <c r="R35" s="1352" t="s">
        <v>63</v>
      </c>
      <c r="S35" s="1353">
        <f t="shared" si="12"/>
        <v>100</v>
      </c>
      <c r="T35" s="1352" t="s">
        <v>63</v>
      </c>
      <c r="U35" s="1353">
        <f t="shared" si="13"/>
        <v>100</v>
      </c>
      <c r="V35" s="1352" t="s">
        <v>63</v>
      </c>
      <c r="W35" s="1353">
        <f t="shared" si="14"/>
        <v>100</v>
      </c>
      <c r="X35" s="3367"/>
      <c r="Y35" s="3639"/>
      <c r="Z35" s="3368" t="str">
        <f t="shared" si="15"/>
        <v>公共部分装修</v>
      </c>
      <c r="AA35" s="3370">
        <f t="shared" si="3"/>
        <v>1</v>
      </c>
      <c r="AB35" s="3370">
        <f t="shared" si="4"/>
        <v>1</v>
      </c>
      <c r="AC35" s="3370">
        <f t="shared" si="5"/>
        <v>1</v>
      </c>
    </row>
    <row r="36" spans="1:29" ht="15">
      <c r="A36" s="161"/>
      <c r="B36" s="3366" t="s">
        <v>1029</v>
      </c>
      <c r="C36" s="817">
        <v>0.78</v>
      </c>
      <c r="D36" s="778">
        <v>100</v>
      </c>
      <c r="E36" s="817">
        <v>0.72</v>
      </c>
      <c r="F36" s="804">
        <f>LOOKUP(E36,110:110,111:111)-LOOKUP(C36,110:110,111:111)+100</f>
        <v>100</v>
      </c>
      <c r="G36" s="817">
        <v>0.78</v>
      </c>
      <c r="H36" s="804">
        <f>LOOKUP(G36,110:110,111:111)-LOOKUP(C36,110:110,111:111)+100</f>
        <v>100</v>
      </c>
      <c r="I36" s="817">
        <v>0.8</v>
      </c>
      <c r="J36" s="778">
        <f>LOOKUP(I36,110:110,111:111)-LOOKUP(C36,110:110,111:111)+100</f>
        <v>100</v>
      </c>
      <c r="K36" s="955">
        <v>0</v>
      </c>
      <c r="L36" s="2302"/>
      <c r="M36" s="2297"/>
      <c r="N36" s="2297"/>
      <c r="O36" s="2297"/>
      <c r="P36" s="3637"/>
      <c r="Q36" s="3369" t="str">
        <f t="shared" si="11"/>
        <v>成新度</v>
      </c>
      <c r="R36" s="1352" t="s">
        <v>63</v>
      </c>
      <c r="S36" s="1353">
        <f t="shared" si="12"/>
        <v>100</v>
      </c>
      <c r="T36" s="1352" t="s">
        <v>63</v>
      </c>
      <c r="U36" s="1353">
        <f t="shared" si="13"/>
        <v>100</v>
      </c>
      <c r="V36" s="1352" t="s">
        <v>63</v>
      </c>
      <c r="W36" s="1353">
        <f t="shared" si="14"/>
        <v>100</v>
      </c>
      <c r="X36" s="3367"/>
      <c r="Y36" s="3639"/>
      <c r="Z36" s="3368" t="str">
        <f t="shared" si="15"/>
        <v>成新度</v>
      </c>
      <c r="AA36" s="3370">
        <f t="shared" si="3"/>
        <v>1</v>
      </c>
      <c r="AB36" s="3370">
        <f t="shared" si="4"/>
        <v>1</v>
      </c>
      <c r="AC36" s="3370">
        <f t="shared" si="5"/>
        <v>1</v>
      </c>
    </row>
    <row r="37" spans="1:29" s="40" customFormat="1" ht="15">
      <c r="A37" s="1041"/>
      <c r="B37" s="3366" t="s">
        <v>2653</v>
      </c>
      <c r="C37" s="109" t="s">
        <v>3182</v>
      </c>
      <c r="D37" s="426">
        <v>100</v>
      </c>
      <c r="E37" s="109" t="s">
        <v>3182</v>
      </c>
      <c r="F37" s="804">
        <f>SUMIF(112:112,E37,113:113)-SUMIF(112:112,C37,113:113)+100</f>
        <v>100</v>
      </c>
      <c r="G37" s="109" t="s">
        <v>3182</v>
      </c>
      <c r="H37" s="778">
        <f>SUMIF(112:112,G37,113:113)-SUMIF(112:112,C37,113:113)+100</f>
        <v>100</v>
      </c>
      <c r="I37" s="109" t="s">
        <v>3182</v>
      </c>
      <c r="J37" s="778">
        <f>SUMIF(112:112,I37,113:113)-SUMIF(112:112,C37,113:113)+100</f>
        <v>100</v>
      </c>
      <c r="K37" s="955">
        <v>1</v>
      </c>
      <c r="L37" s="2298"/>
      <c r="M37" s="2260"/>
      <c r="N37" s="2260"/>
      <c r="O37" s="2260"/>
      <c r="P37" s="3637"/>
      <c r="Q37" s="3364" t="str">
        <f t="shared" si="11"/>
        <v>市政基础设施</v>
      </c>
      <c r="R37" s="1342" t="s">
        <v>63</v>
      </c>
      <c r="S37" s="1343">
        <f t="shared" si="12"/>
        <v>100</v>
      </c>
      <c r="T37" s="1342" t="s">
        <v>63</v>
      </c>
      <c r="U37" s="1343">
        <f t="shared" si="13"/>
        <v>100</v>
      </c>
      <c r="V37" s="1342" t="s">
        <v>63</v>
      </c>
      <c r="W37" s="1343">
        <f t="shared" si="14"/>
        <v>100</v>
      </c>
      <c r="X37" s="287"/>
      <c r="Y37" s="3639"/>
      <c r="Z37" s="3365" t="str">
        <f t="shared" si="15"/>
        <v>市政基础设施</v>
      </c>
      <c r="AA37" s="1344">
        <f t="shared" si="3"/>
        <v>1</v>
      </c>
      <c r="AB37" s="1344">
        <f t="shared" si="4"/>
        <v>1</v>
      </c>
      <c r="AC37" s="1344">
        <f t="shared" si="5"/>
        <v>1</v>
      </c>
    </row>
    <row r="38" spans="1:29" ht="15">
      <c r="A38" s="161"/>
      <c r="B38" s="3366" t="s">
        <v>133</v>
      </c>
      <c r="C38" s="109" t="s">
        <v>3194</v>
      </c>
      <c r="D38" s="778">
        <v>100</v>
      </c>
      <c r="E38" s="109" t="s">
        <v>3194</v>
      </c>
      <c r="F38" s="804">
        <f>SUMIF(114:114,E38,115:115)-SUMIF(114:114,C38,115:115)+100</f>
        <v>100</v>
      </c>
      <c r="G38" s="109" t="s">
        <v>3194</v>
      </c>
      <c r="H38" s="778">
        <f>SUMIF(114:114,G38,115:115)-SUMIF(114:114,C38,115:115)+100</f>
        <v>100</v>
      </c>
      <c r="I38" s="109" t="s">
        <v>3194</v>
      </c>
      <c r="J38" s="778">
        <f>SUMIF(114:114,I38,115:115)-SUMIF(114:114,C38,115:115)+100</f>
        <v>100</v>
      </c>
      <c r="K38" s="955">
        <v>2</v>
      </c>
      <c r="L38" s="2302"/>
      <c r="M38" s="2297"/>
      <c r="N38" s="2297"/>
      <c r="O38" s="2297"/>
      <c r="P38" s="3637" t="s">
        <v>1001</v>
      </c>
      <c r="Q38" s="3369" t="str">
        <f t="shared" si="11"/>
        <v>业态</v>
      </c>
      <c r="R38" s="1352" t="s">
        <v>63</v>
      </c>
      <c r="S38" s="1353">
        <f t="shared" si="12"/>
        <v>100</v>
      </c>
      <c r="T38" s="1352" t="s">
        <v>63</v>
      </c>
      <c r="U38" s="1353">
        <f t="shared" si="13"/>
        <v>100</v>
      </c>
      <c r="V38" s="1352" t="s">
        <v>63</v>
      </c>
      <c r="W38" s="1353">
        <f t="shared" si="14"/>
        <v>100</v>
      </c>
      <c r="X38" s="3367"/>
      <c r="Y38" s="3639" t="s">
        <v>1001</v>
      </c>
      <c r="Z38" s="3368" t="str">
        <f t="shared" si="15"/>
        <v>业态</v>
      </c>
      <c r="AA38" s="3370">
        <f t="shared" si="3"/>
        <v>1</v>
      </c>
      <c r="AB38" s="3370">
        <f t="shared" si="4"/>
        <v>1</v>
      </c>
      <c r="AC38" s="3370">
        <f t="shared" si="5"/>
        <v>1</v>
      </c>
    </row>
    <row r="39" spans="1:29" ht="15">
      <c r="A39" s="161"/>
      <c r="B39" s="3366" t="s">
        <v>134</v>
      </c>
      <c r="C39" s="109" t="s">
        <v>3195</v>
      </c>
      <c r="D39" s="778">
        <v>100</v>
      </c>
      <c r="E39" s="109" t="s">
        <v>3195</v>
      </c>
      <c r="F39" s="804">
        <f>SUMIF(116:116,E39,117:117)-SUMIF(116:116,C39,117:117)+100</f>
        <v>100</v>
      </c>
      <c r="G39" s="109" t="s">
        <v>3195</v>
      </c>
      <c r="H39" s="778">
        <f>SUMIF(116:116,G39,117:117)-SUMIF(116:116,C39,117:117)+100</f>
        <v>100</v>
      </c>
      <c r="I39" s="109" t="s">
        <v>3195</v>
      </c>
      <c r="J39" s="778">
        <f>SUMIF(116:116,I39,117:117)-SUMIF(116:116,C39,117:117)+100</f>
        <v>100</v>
      </c>
      <c r="K39" s="955">
        <v>2</v>
      </c>
      <c r="L39" s="2302"/>
      <c r="M39" s="2297"/>
      <c r="N39" s="2297"/>
      <c r="O39" s="2297"/>
      <c r="P39" s="3637"/>
      <c r="Q39" s="3369" t="str">
        <f t="shared" si="11"/>
        <v>层高</v>
      </c>
      <c r="R39" s="1352" t="s">
        <v>63</v>
      </c>
      <c r="S39" s="1353">
        <f t="shared" si="12"/>
        <v>100</v>
      </c>
      <c r="T39" s="1352" t="s">
        <v>63</v>
      </c>
      <c r="U39" s="1353">
        <f t="shared" si="13"/>
        <v>100</v>
      </c>
      <c r="V39" s="1352" t="s">
        <v>63</v>
      </c>
      <c r="W39" s="1353">
        <f t="shared" si="14"/>
        <v>100</v>
      </c>
      <c r="X39" s="3367"/>
      <c r="Y39" s="3639"/>
      <c r="Z39" s="3368" t="str">
        <f t="shared" si="15"/>
        <v>层高</v>
      </c>
      <c r="AA39" s="3370">
        <f t="shared" si="3"/>
        <v>1</v>
      </c>
      <c r="AB39" s="3370">
        <f t="shared" si="4"/>
        <v>1</v>
      </c>
      <c r="AC39" s="3370">
        <f t="shared" si="5"/>
        <v>1</v>
      </c>
    </row>
    <row r="40" spans="1:29" ht="14.25">
      <c r="A40" s="161"/>
      <c r="B40" s="3366"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37"/>
      <c r="Q40" s="3369" t="str">
        <f t="shared" si="11"/>
        <v>单套建筑面积</v>
      </c>
      <c r="R40" s="1352" t="s">
        <v>63</v>
      </c>
      <c r="S40" s="1353">
        <f t="shared" si="12"/>
        <v>100</v>
      </c>
      <c r="T40" s="1352" t="s">
        <v>63</v>
      </c>
      <c r="U40" s="1353">
        <f t="shared" si="13"/>
        <v>100</v>
      </c>
      <c r="V40" s="1352" t="s">
        <v>63</v>
      </c>
      <c r="W40" s="1353">
        <f t="shared" si="14"/>
        <v>100</v>
      </c>
      <c r="X40" s="3367"/>
      <c r="Y40" s="3639"/>
      <c r="Z40" s="3368" t="str">
        <f t="shared" si="15"/>
        <v>单套建筑面积</v>
      </c>
      <c r="AA40" s="3370">
        <f t="shared" si="3"/>
        <v>1</v>
      </c>
      <c r="AB40" s="3370">
        <f t="shared" si="4"/>
        <v>1</v>
      </c>
      <c r="AC40" s="3370">
        <f t="shared" si="5"/>
        <v>1</v>
      </c>
    </row>
    <row r="41" spans="1:29" s="1039" customFormat="1" ht="15">
      <c r="A41" s="1043"/>
      <c r="B41" s="3371" t="s">
        <v>1033</v>
      </c>
      <c r="C41" s="182" t="s">
        <v>3196</v>
      </c>
      <c r="D41" s="778">
        <v>100</v>
      </c>
      <c r="E41" s="182" t="s">
        <v>3196</v>
      </c>
      <c r="F41" s="804">
        <f>SUMIF(120:120,E41,121:121)-SUMIF(120:120,C41,121:121)+100</f>
        <v>100</v>
      </c>
      <c r="G41" s="182" t="s">
        <v>3196</v>
      </c>
      <c r="H41" s="778">
        <f>SUMIF(120:120,G41,121:121)-SUMIF(120:120,C41,121:121)+100</f>
        <v>100</v>
      </c>
      <c r="I41" s="182" t="s">
        <v>3196</v>
      </c>
      <c r="J41" s="778">
        <f>SUMIF(120:120,I41,121:121)-SUMIF(120:120,C41,121:121)+100</f>
        <v>100</v>
      </c>
      <c r="K41" s="955">
        <v>1</v>
      </c>
      <c r="L41" s="2301"/>
      <c r="M41" s="2303"/>
      <c r="N41" s="2303"/>
      <c r="O41" s="2303"/>
      <c r="P41" s="3637"/>
      <c r="Q41" s="1359" t="str">
        <f t="shared" si="11"/>
        <v>进深比</v>
      </c>
      <c r="R41" s="1360" t="s">
        <v>63</v>
      </c>
      <c r="S41" s="1361">
        <f t="shared" si="12"/>
        <v>100</v>
      </c>
      <c r="T41" s="1360" t="s">
        <v>63</v>
      </c>
      <c r="U41" s="1361">
        <f t="shared" si="13"/>
        <v>100</v>
      </c>
      <c r="V41" s="1360" t="s">
        <v>63</v>
      </c>
      <c r="W41" s="1361">
        <f t="shared" si="14"/>
        <v>100</v>
      </c>
      <c r="X41" s="1362"/>
      <c r="Y41" s="3639"/>
      <c r="Z41" s="1363" t="str">
        <f t="shared" si="15"/>
        <v>进深比</v>
      </c>
      <c r="AA41" s="3370">
        <f t="shared" si="3"/>
        <v>1</v>
      </c>
      <c r="AB41" s="3370">
        <f t="shared" si="4"/>
        <v>1</v>
      </c>
      <c r="AC41" s="3370">
        <f t="shared" si="5"/>
        <v>1</v>
      </c>
    </row>
    <row r="42" spans="1:29" ht="15">
      <c r="A42" s="161"/>
      <c r="B42" s="3366" t="s">
        <v>1034</v>
      </c>
      <c r="C42" s="109" t="s">
        <v>3193</v>
      </c>
      <c r="D42" s="778">
        <v>100</v>
      </c>
      <c r="E42" s="109" t="s">
        <v>3198</v>
      </c>
      <c r="F42" s="804">
        <f>SUMIF(122:122,E42,123:123)-SUMIF(122:122,C42,123:123)+100</f>
        <v>97</v>
      </c>
      <c r="G42" s="109" t="s">
        <v>3198</v>
      </c>
      <c r="H42" s="778">
        <f>SUMIF(122:122,G42,123:123)-SUMIF(122:122,C42,123:123)+100</f>
        <v>97</v>
      </c>
      <c r="I42" s="109" t="s">
        <v>3198</v>
      </c>
      <c r="J42" s="778">
        <f>SUMIF(122:122,I42,123:123)-SUMIF(122:122,C42,123:123)+100</f>
        <v>97</v>
      </c>
      <c r="K42" s="955">
        <v>3</v>
      </c>
      <c r="L42" s="2302"/>
      <c r="M42" s="2297"/>
      <c r="N42" s="2297"/>
      <c r="O42" s="2297"/>
      <c r="P42" s="3637"/>
      <c r="Q42" s="3369" t="str">
        <f t="shared" si="11"/>
        <v>内部装修</v>
      </c>
      <c r="R42" s="1352" t="s">
        <v>63</v>
      </c>
      <c r="S42" s="1353">
        <f t="shared" si="12"/>
        <v>97</v>
      </c>
      <c r="T42" s="1352" t="s">
        <v>63</v>
      </c>
      <c r="U42" s="1353">
        <f t="shared" si="13"/>
        <v>97</v>
      </c>
      <c r="V42" s="1352" t="s">
        <v>63</v>
      </c>
      <c r="W42" s="1353">
        <f t="shared" si="14"/>
        <v>97</v>
      </c>
      <c r="X42" s="3367"/>
      <c r="Y42" s="3639"/>
      <c r="Z42" s="3368" t="str">
        <f t="shared" si="15"/>
        <v>内部装修</v>
      </c>
      <c r="AA42" s="3370">
        <f t="shared" si="3"/>
        <v>1.0309278350515463</v>
      </c>
      <c r="AB42" s="3370">
        <f t="shared" si="4"/>
        <v>1.0309278350515463</v>
      </c>
      <c r="AC42" s="3370">
        <f t="shared" si="5"/>
        <v>1.0309278350515463</v>
      </c>
    </row>
    <row r="43" spans="1:29" ht="27">
      <c r="A43" s="161"/>
      <c r="B43" s="3366" t="s">
        <v>82</v>
      </c>
      <c r="C43" s="109" t="s">
        <v>3178</v>
      </c>
      <c r="D43" s="778">
        <v>100</v>
      </c>
      <c r="E43" s="109" t="s">
        <v>3178</v>
      </c>
      <c r="F43" s="804">
        <f>SUMIF(124:124,E43,125:125)-SUMIF(124:124,C43,125:125)+100</f>
        <v>100</v>
      </c>
      <c r="G43" s="109" t="s">
        <v>3178</v>
      </c>
      <c r="H43" s="778">
        <f>SUMIF(124:124,G43,125:125)-SUMIF(124:124,C43,125:125)+100</f>
        <v>100</v>
      </c>
      <c r="I43" s="109" t="s">
        <v>3178</v>
      </c>
      <c r="J43" s="778">
        <f>SUMIF(124:124,I43,125:125)-SUMIF(124:124,C43,125:125)+100</f>
        <v>100</v>
      </c>
      <c r="K43" s="955">
        <v>2</v>
      </c>
      <c r="L43" s="2302"/>
      <c r="M43" s="2297"/>
      <c r="N43" s="2297"/>
      <c r="O43" s="2297"/>
      <c r="P43" s="3637"/>
      <c r="Q43" s="3369" t="str">
        <f t="shared" si="11"/>
        <v>内部装修维护情况</v>
      </c>
      <c r="R43" s="1352" t="s">
        <v>63</v>
      </c>
      <c r="S43" s="1353">
        <f t="shared" si="12"/>
        <v>100</v>
      </c>
      <c r="T43" s="1352" t="s">
        <v>63</v>
      </c>
      <c r="U43" s="1353">
        <f t="shared" si="13"/>
        <v>100</v>
      </c>
      <c r="V43" s="1352" t="s">
        <v>63</v>
      </c>
      <c r="W43" s="1353">
        <f t="shared" si="14"/>
        <v>100</v>
      </c>
      <c r="X43" s="3367"/>
      <c r="Y43" s="3639"/>
      <c r="Z43" s="3368" t="str">
        <f t="shared" si="15"/>
        <v>内部装修维护情况</v>
      </c>
      <c r="AA43" s="3370">
        <f t="shared" si="3"/>
        <v>1</v>
      </c>
      <c r="AB43" s="3370">
        <f t="shared" si="4"/>
        <v>1</v>
      </c>
      <c r="AC43" s="3370">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37"/>
      <c r="Q44" s="3364">
        <f t="shared" si="11"/>
        <v>111</v>
      </c>
      <c r="R44" s="1342" t="s">
        <v>63</v>
      </c>
      <c r="S44" s="1343">
        <f t="shared" si="12"/>
        <v>100</v>
      </c>
      <c r="T44" s="1342" t="s">
        <v>63</v>
      </c>
      <c r="U44" s="1343">
        <f t="shared" si="13"/>
        <v>100</v>
      </c>
      <c r="V44" s="1342" t="s">
        <v>63</v>
      </c>
      <c r="W44" s="1343">
        <f t="shared" si="14"/>
        <v>100</v>
      </c>
      <c r="X44" s="287"/>
      <c r="Y44" s="3639"/>
      <c r="Z44" s="3365">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37"/>
      <c r="Q45" s="3369">
        <f t="shared" si="11"/>
        <v>111</v>
      </c>
      <c r="R45" s="1352" t="s">
        <v>63</v>
      </c>
      <c r="S45" s="1353">
        <f t="shared" si="12"/>
        <v>100</v>
      </c>
      <c r="T45" s="1352" t="s">
        <v>63</v>
      </c>
      <c r="U45" s="1353">
        <f t="shared" si="13"/>
        <v>100</v>
      </c>
      <c r="V45" s="1352" t="s">
        <v>63</v>
      </c>
      <c r="W45" s="1353">
        <f t="shared" si="14"/>
        <v>100</v>
      </c>
      <c r="X45" s="3367"/>
      <c r="Y45" s="3639"/>
      <c r="Z45" s="3368">
        <f t="shared" si="15"/>
        <v>111</v>
      </c>
      <c r="AA45" s="3370">
        <f t="shared" si="3"/>
        <v>1</v>
      </c>
      <c r="AB45" s="3370">
        <f t="shared" si="4"/>
        <v>1</v>
      </c>
      <c r="AC45" s="3370">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8"/>
      <c r="Q46" s="3369">
        <f t="shared" si="11"/>
        <v>111</v>
      </c>
      <c r="R46" s="1352" t="s">
        <v>63</v>
      </c>
      <c r="S46" s="1353">
        <f t="shared" si="12"/>
        <v>100</v>
      </c>
      <c r="T46" s="1352" t="s">
        <v>63</v>
      </c>
      <c r="U46" s="1353">
        <f t="shared" si="13"/>
        <v>100</v>
      </c>
      <c r="V46" s="1352" t="s">
        <v>63</v>
      </c>
      <c r="W46" s="1353">
        <f t="shared" si="14"/>
        <v>100</v>
      </c>
      <c r="X46" s="3367"/>
      <c r="Y46" s="3640"/>
      <c r="Z46" s="3368">
        <f t="shared" si="15"/>
        <v>111</v>
      </c>
      <c r="AA46" s="3370">
        <f t="shared" si="3"/>
        <v>1</v>
      </c>
      <c r="AB46" s="3370">
        <f t="shared" si="4"/>
        <v>1</v>
      </c>
      <c r="AC46" s="3370">
        <f t="shared" si="5"/>
        <v>1</v>
      </c>
    </row>
    <row r="47" spans="1:29" ht="15">
      <c r="A47" s="163" t="s">
        <v>1035</v>
      </c>
      <c r="B47" s="164"/>
      <c r="C47" s="2834" t="s">
        <v>23</v>
      </c>
      <c r="D47" s="2835"/>
      <c r="E47" s="2836">
        <v>12</v>
      </c>
      <c r="F47" s="2837"/>
      <c r="G47" s="2838">
        <v>12.5</v>
      </c>
      <c r="H47" s="2839"/>
      <c r="I47" s="2836">
        <v>10.5</v>
      </c>
      <c r="J47" s="2839"/>
      <c r="K47" s="1393"/>
      <c r="L47" s="2304"/>
      <c r="M47" s="2305"/>
      <c r="N47" s="2297"/>
      <c r="O47" s="2305"/>
      <c r="P47" s="3627" t="str">
        <f>A47</f>
        <v>成交单价（元/平方米）</v>
      </c>
      <c r="Q47" s="3627"/>
      <c r="R47" s="3641">
        <f>E47</f>
        <v>12</v>
      </c>
      <c r="S47" s="3641"/>
      <c r="T47" s="3641">
        <f>G47</f>
        <v>12.5</v>
      </c>
      <c r="U47" s="3641"/>
      <c r="V47" s="3641">
        <f>I47</f>
        <v>10.5</v>
      </c>
      <c r="W47" s="3641"/>
      <c r="X47" s="1365"/>
      <c r="Y47" s="1366"/>
      <c r="Z47" s="1365"/>
      <c r="AA47" s="1365"/>
      <c r="AB47" s="1365"/>
      <c r="AC47" s="1365"/>
    </row>
    <row r="48" spans="1:29" ht="15.75" thickBot="1">
      <c r="A48" s="165" t="s">
        <v>1036</v>
      </c>
      <c r="B48" s="166"/>
      <c r="C48" s="2840">
        <f>R49</f>
        <v>10.7</v>
      </c>
      <c r="D48" s="2841"/>
      <c r="E48" s="2842">
        <f>R48</f>
        <v>11.3</v>
      </c>
      <c r="F48" s="2842"/>
      <c r="G48" s="2840">
        <f>T48</f>
        <v>11.3</v>
      </c>
      <c r="H48" s="2841"/>
      <c r="I48" s="2842">
        <f>V48</f>
        <v>9.5</v>
      </c>
      <c r="J48" s="2841"/>
      <c r="K48" s="1394"/>
      <c r="L48" s="2304"/>
      <c r="M48" s="2305"/>
      <c r="N48" s="2297"/>
      <c r="O48" s="2305"/>
      <c r="P48" s="3627" t="str">
        <f>A48</f>
        <v>比较价值（元/平方米）</v>
      </c>
      <c r="Q48" s="3627"/>
      <c r="R48" s="3628">
        <f>IF(F1="售价",ROUND(PRODUCT(R47,AA7:AA46),0),ROUND(PRODUCT(R47,AA7:AA46),1))</f>
        <v>11.3</v>
      </c>
      <c r="S48" s="3628"/>
      <c r="T48" s="3628">
        <f>IF(F1="售价",ROUND(PRODUCT(T47,AB7:AB46),0),ROUND(PRODUCT(T47,AB7:AB46),1))</f>
        <v>11.3</v>
      </c>
      <c r="U48" s="3628"/>
      <c r="V48" s="3628">
        <f>IF(F1="售价",ROUND(PRODUCT(V47,AC7:AC46),0),ROUND(PRODUCT(V47,AC7:AC46),1))</f>
        <v>9.5</v>
      </c>
      <c r="W48" s="3628"/>
      <c r="X48" s="1365"/>
      <c r="Y48" s="1365"/>
      <c r="Z48" s="1365"/>
      <c r="AA48" s="1365"/>
      <c r="AB48" s="1365"/>
      <c r="AC48" s="1365"/>
    </row>
    <row r="49" spans="1:29" ht="15.75" thickBot="1">
      <c r="A49" s="115" t="s">
        <v>3125</v>
      </c>
      <c r="B49" s="116"/>
      <c r="C49" s="2844">
        <f>R49</f>
        <v>10.7</v>
      </c>
      <c r="D49" s="2844"/>
      <c r="E49" s="2844"/>
      <c r="F49" s="2844"/>
      <c r="G49" s="2844"/>
      <c r="H49" s="2844"/>
      <c r="I49" s="2844"/>
      <c r="J49" s="2844"/>
      <c r="K49" s="1395"/>
      <c r="L49" s="2304"/>
      <c r="M49" s="2305"/>
      <c r="N49" s="2297"/>
      <c r="O49" s="2305"/>
      <c r="P49" s="3629" t="str">
        <f>A49</f>
        <v>估价对象商业用房的比较价值（楼面单价，元/平方米）</v>
      </c>
      <c r="Q49" s="3630"/>
      <c r="R49" s="3631">
        <f>IF(F1="售价",ROUND(AVERAGE(R48:V48),0),ROUND(AVERAGE(R48:V48),1))</f>
        <v>10.7</v>
      </c>
      <c r="S49" s="3631"/>
      <c r="T49" s="3631"/>
      <c r="U49" s="3631"/>
      <c r="V49" s="3631"/>
      <c r="W49" s="363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410</v>
      </c>
      <c r="D52" s="841"/>
      <c r="E52" s="842">
        <f>IF(E47&lt;E48,E48/E47-1,E47/E48-1)</f>
        <v>6.1946902654867131E-2</v>
      </c>
      <c r="F52" s="843" t="str">
        <f>IF(OR(E52&gt;=0.3,E52&lt;=-0.3),"超过30%","")</f>
        <v/>
      </c>
      <c r="G52" s="842">
        <f>IF(G47&lt;G48,G48/G47-1,G47/G48-1)</f>
        <v>0.10619469026548667</v>
      </c>
      <c r="H52" s="843" t="str">
        <f>IF(OR(G52&gt;=0.3,G52&lt;=-0.3),"超过30%","")</f>
        <v/>
      </c>
      <c r="I52" s="842">
        <f>IF(I47&lt;I48,I48/I47-1,I47/I48-1)</f>
        <v>0.10526315789473695</v>
      </c>
      <c r="J52" s="843" t="str">
        <f>IF(OR(I52&gt;=0.3,I52&lt;=-0.3),"超过30%","")</f>
        <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411</v>
      </c>
      <c r="D53" s="844"/>
      <c r="E53" s="842">
        <f>IF(E48&lt;G48,G48/E48-1,E48/G48-1)</f>
        <v>0</v>
      </c>
      <c r="F53" s="843" t="str">
        <f>IF(OR(E53&gt;=0.2,E53&lt;=-0.2),"超过20%","")</f>
        <v/>
      </c>
      <c r="G53" s="842">
        <f>IF(G48&lt;I48,I48/G48-1,G48/I48-1)</f>
        <v>0.18947368421052646</v>
      </c>
      <c r="H53" s="843" t="str">
        <f>IF(OR(G53&gt;=0.2,G53&lt;=-0.2),"超过20%","")</f>
        <v/>
      </c>
      <c r="I53" s="842">
        <f>IF(I48&lt;E48,E48/I48-1,I48/E48-1)</f>
        <v>0.18947368421052646</v>
      </c>
      <c r="J53" s="843" t="str">
        <f>IF(OR(I53&gt;=0.2,I53&lt;=-0.2),"超过20%","")</f>
        <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1007</v>
      </c>
      <c r="D54" s="844"/>
      <c r="E54" s="842">
        <f>IF(E47&lt;G47,G47/E47-1,E47/G47-1)</f>
        <v>4.1666666666666741E-2</v>
      </c>
      <c r="F54" s="843" t="str">
        <f>IF(OR(E54&gt;=0.3,E54&lt;=-0.3),"超过30%","")</f>
        <v/>
      </c>
      <c r="G54" s="842">
        <f>IF(G47&lt;I47,I47/G47-1,G47/I47-1)</f>
        <v>0.19047619047619047</v>
      </c>
      <c r="H54" s="843" t="str">
        <f>IF(OR(G54&gt;=0.3,G54&lt;=-0.3),"超过30%","")</f>
        <v/>
      </c>
      <c r="I54" s="842">
        <f>IF(I47&lt;E47,E47/I47-1,I47/E47-1)</f>
        <v>0.14285714285714279</v>
      </c>
      <c r="J54" s="843" t="str">
        <f>IF(OR(I54&gt;=0.3,I54&lt;=-0.3),"超过30%","")</f>
        <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125</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2790</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116</v>
      </c>
      <c r="B60" s="1048"/>
      <c r="C60" s="860"/>
      <c r="D60" s="861"/>
      <c r="E60" s="861"/>
      <c r="F60" s="861"/>
      <c r="G60" s="861"/>
      <c r="H60" s="861"/>
      <c r="I60" s="861"/>
      <c r="J60" s="861"/>
      <c r="K60" s="861"/>
      <c r="L60" s="861"/>
      <c r="M60" s="862"/>
      <c r="N60" s="861"/>
      <c r="O60" s="862"/>
      <c r="P60" s="1377"/>
      <c r="Q60" s="121"/>
    </row>
    <row r="61" spans="1:29" s="40" customFormat="1">
      <c r="A61" s="1049" t="s">
        <v>998</v>
      </c>
      <c r="B61" s="1046"/>
      <c r="C61" s="1050" t="s">
        <v>1040</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999</v>
      </c>
      <c r="B63" s="286" t="s">
        <v>1042</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1043</v>
      </c>
      <c r="C65" s="882" t="s">
        <v>1008</v>
      </c>
      <c r="D65" s="882" t="s">
        <v>1009</v>
      </c>
      <c r="E65" s="882" t="s">
        <v>1010</v>
      </c>
      <c r="F65" s="882" t="s">
        <v>1011</v>
      </c>
      <c r="G65" s="882" t="s">
        <v>1012</v>
      </c>
      <c r="H65" s="882" t="s">
        <v>437</v>
      </c>
      <c r="I65" s="882" t="s">
        <v>1014</v>
      </c>
      <c r="J65" s="882"/>
      <c r="K65" s="883"/>
      <c r="L65" s="884"/>
      <c r="M65" s="885"/>
      <c r="N65" s="1389"/>
      <c r="O65" s="1389"/>
      <c r="P65" s="1379"/>
      <c r="Q65" s="121"/>
    </row>
    <row r="66" spans="1:17" ht="15" thickBot="1">
      <c r="A66" s="173"/>
      <c r="B66" s="1055"/>
      <c r="C66" s="887" t="s">
        <v>136</v>
      </c>
      <c r="D66" s="887" t="s">
        <v>136</v>
      </c>
      <c r="E66" s="887" t="s">
        <v>138</v>
      </c>
      <c r="F66" s="887">
        <v>100</v>
      </c>
      <c r="G66" s="887">
        <f>F66-$K10</f>
        <v>99</v>
      </c>
      <c r="H66" s="887">
        <f>G66-$K10</f>
        <v>98</v>
      </c>
      <c r="I66" s="887">
        <f>H66-$K10</f>
        <v>97</v>
      </c>
      <c r="J66" s="887"/>
      <c r="K66" s="887"/>
      <c r="L66" s="887"/>
      <c r="M66" s="888"/>
      <c r="N66" s="1390"/>
      <c r="O66" s="1390"/>
      <c r="P66" s="1379"/>
      <c r="Q66" s="121"/>
    </row>
    <row r="67" spans="1:17" ht="15" thickTop="1">
      <c r="A67" s="173"/>
      <c r="B67" s="1056" t="s">
        <v>1044</v>
      </c>
      <c r="C67" s="890" t="str">
        <f>C68&amp;"（含）"&amp;"-"&amp;D68</f>
        <v>0（含）-1</v>
      </c>
      <c r="D67" s="890" t="str">
        <f t="shared" ref="D67:L67" si="17">D68&amp;"（含）"&amp;"-"&amp;E68</f>
        <v>1（含）-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1045</v>
      </c>
      <c r="B76" s="286" t="s">
        <v>108</v>
      </c>
      <c r="C76" s="916" t="s">
        <v>423</v>
      </c>
      <c r="D76" s="916" t="s">
        <v>424</v>
      </c>
      <c r="E76" s="916" t="s">
        <v>1017</v>
      </c>
      <c r="F76" s="916" t="s">
        <v>426</v>
      </c>
      <c r="G76" s="916" t="s">
        <v>427</v>
      </c>
      <c r="H76" s="872"/>
      <c r="I76" s="872"/>
      <c r="J76" s="872"/>
      <c r="K76" s="917"/>
      <c r="L76" s="918"/>
      <c r="M76" s="919"/>
      <c r="N76" s="1389"/>
      <c r="O76" s="1389"/>
      <c r="P76" s="1383"/>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90"/>
      <c r="O77" s="1390"/>
      <c r="P77" s="1379"/>
      <c r="Q77" s="121"/>
    </row>
    <row r="78" spans="1:17" ht="15" thickTop="1">
      <c r="A78" s="173"/>
      <c r="B78" s="1054" t="s">
        <v>1052</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90"/>
      <c r="O79" s="1390"/>
      <c r="P79" s="1379"/>
      <c r="Q79" s="121"/>
    </row>
    <row r="80" spans="1:17" ht="15" thickTop="1">
      <c r="A80" s="173"/>
      <c r="B80" s="1054" t="s">
        <v>2635</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2652</v>
      </c>
      <c r="C82" s="213" t="s">
        <v>2655</v>
      </c>
      <c r="D82" s="213" t="s">
        <v>2656</v>
      </c>
      <c r="E82" s="213" t="s">
        <v>2657</v>
      </c>
      <c r="F82" s="213" t="s">
        <v>2658</v>
      </c>
      <c r="G82" s="213" t="s">
        <v>2659</v>
      </c>
      <c r="H82" s="882"/>
      <c r="I82" s="882"/>
      <c r="J82" s="882"/>
      <c r="K82" s="882"/>
      <c r="L82" s="882"/>
      <c r="M82" s="2766"/>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1053</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97</v>
      </c>
      <c r="E85" s="887">
        <f>D85-$K23</f>
        <v>94</v>
      </c>
      <c r="F85" s="887">
        <f>E85-$K23</f>
        <v>91</v>
      </c>
      <c r="G85" s="887">
        <f>F85-$K23</f>
        <v>88</v>
      </c>
      <c r="H85" s="887"/>
      <c r="I85" s="887"/>
      <c r="J85" s="887"/>
      <c r="K85" s="887"/>
      <c r="L85" s="887"/>
      <c r="M85" s="888"/>
      <c r="N85" s="1390"/>
      <c r="O85" s="1390"/>
      <c r="P85" s="1379"/>
      <c r="Q85" s="121"/>
    </row>
    <row r="86" spans="1:17" s="40" customFormat="1" ht="14.25" thickTop="1">
      <c r="A86" s="1072"/>
      <c r="B86" s="1054" t="s">
        <v>1054</v>
      </c>
      <c r="C86" s="3420" t="s">
        <v>3148</v>
      </c>
      <c r="D86" s="3420" t="s">
        <v>3149</v>
      </c>
      <c r="E86" s="3420" t="s">
        <v>3150</v>
      </c>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97</v>
      </c>
      <c r="E87" s="887">
        <f t="shared" si="20"/>
        <v>94</v>
      </c>
      <c r="F87" s="887">
        <f t="shared" si="20"/>
        <v>91</v>
      </c>
      <c r="G87" s="887">
        <f t="shared" si="20"/>
        <v>88</v>
      </c>
      <c r="H87" s="887">
        <f t="shared" si="20"/>
        <v>85</v>
      </c>
      <c r="I87" s="887">
        <f t="shared" si="20"/>
        <v>82</v>
      </c>
      <c r="J87" s="887">
        <f t="shared" si="20"/>
        <v>79</v>
      </c>
      <c r="K87" s="887">
        <f t="shared" si="20"/>
        <v>76</v>
      </c>
      <c r="L87" s="887">
        <f t="shared" si="20"/>
        <v>73</v>
      </c>
      <c r="M87" s="887">
        <f t="shared" si="20"/>
        <v>70</v>
      </c>
      <c r="N87" s="1390"/>
      <c r="O87" s="1390"/>
      <c r="P87" s="1379"/>
      <c r="Q87" s="121"/>
    </row>
    <row r="88" spans="1:17" s="40" customFormat="1" ht="14.25" thickTop="1">
      <c r="A88" s="1072"/>
      <c r="B88" s="1054" t="str">
        <f>B26</f>
        <v>平面位置/可视性</v>
      </c>
      <c r="C88" s="3420" t="s">
        <v>3151</v>
      </c>
      <c r="D88" s="3420" t="s">
        <v>3152</v>
      </c>
      <c r="E88" s="3420" t="s">
        <v>3153</v>
      </c>
      <c r="F88" s="3421" t="s">
        <v>3154</v>
      </c>
      <c r="G88" s="3420" t="s">
        <v>3155</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3420" t="s">
        <v>3156</v>
      </c>
      <c r="D90" s="3420" t="s">
        <v>3157</v>
      </c>
      <c r="E90" s="3420" t="s">
        <v>3153</v>
      </c>
      <c r="F90" s="3420" t="s">
        <v>3158</v>
      </c>
      <c r="G90" s="3420" t="s">
        <v>3159</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t="s">
        <v>3160</v>
      </c>
      <c r="D92" s="139"/>
      <c r="E92" s="139"/>
      <c r="F92" s="139"/>
      <c r="G92" s="139"/>
      <c r="H92" s="139"/>
      <c r="I92" s="139"/>
      <c r="J92" s="139"/>
      <c r="K92" s="139"/>
      <c r="L92" s="1384"/>
      <c r="M92" s="1385"/>
      <c r="N92" s="1389"/>
      <c r="O92" s="1389"/>
      <c r="P92" s="1379"/>
      <c r="Q92" s="121"/>
    </row>
    <row r="93" spans="1:17" ht="15" thickBot="1">
      <c r="A93" s="173"/>
      <c r="B93" s="1055"/>
      <c r="C93" s="879">
        <v>100</v>
      </c>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1001</v>
      </c>
      <c r="B100" s="286" t="s">
        <v>1056</v>
      </c>
      <c r="C100" s="3422" t="s">
        <v>3161</v>
      </c>
      <c r="D100" s="3422" t="s">
        <v>3162</v>
      </c>
      <c r="E100" s="3422" t="s">
        <v>3190</v>
      </c>
      <c r="F100" s="122" t="s">
        <v>3192</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99</v>
      </c>
      <c r="E101" s="887">
        <f t="shared" si="22"/>
        <v>98</v>
      </c>
      <c r="F101" s="887">
        <f t="shared" si="22"/>
        <v>97</v>
      </c>
      <c r="G101" s="887">
        <f t="shared" si="22"/>
        <v>96</v>
      </c>
      <c r="H101" s="887">
        <f t="shared" si="22"/>
        <v>95</v>
      </c>
      <c r="I101" s="887">
        <f t="shared" si="22"/>
        <v>94</v>
      </c>
      <c r="J101" s="887">
        <f t="shared" si="22"/>
        <v>93</v>
      </c>
      <c r="K101" s="887">
        <f t="shared" si="22"/>
        <v>92</v>
      </c>
      <c r="L101" s="887">
        <f t="shared" si="22"/>
        <v>91</v>
      </c>
      <c r="M101" s="888">
        <f t="shared" si="22"/>
        <v>90</v>
      </c>
      <c r="N101" s="1390"/>
      <c r="O101" s="1390"/>
      <c r="P101" s="1379"/>
      <c r="Q101" s="121"/>
    </row>
    <row r="102" spans="1:17" ht="15" thickTop="1">
      <c r="A102" s="173"/>
      <c r="B102" s="1054" t="s">
        <v>1057</v>
      </c>
      <c r="C102" s="921" t="str">
        <f>C103&amp;"(含)"&amp;"-"&amp;D103</f>
        <v>0(含)-500</v>
      </c>
      <c r="D102" s="921" t="str">
        <f t="shared" ref="D102:L102" si="23">D103&amp;"(含)"&amp;"-"&amp;E103</f>
        <v>500(含)-1000</v>
      </c>
      <c r="E102" s="921" t="str">
        <f t="shared" si="23"/>
        <v>1000(含)-2000</v>
      </c>
      <c r="F102" s="921" t="str">
        <f t="shared" si="23"/>
        <v>2000(含)-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500</v>
      </c>
      <c r="E103" s="938">
        <v>1000</v>
      </c>
      <c r="F103" s="938">
        <v>2000</v>
      </c>
      <c r="G103" s="938"/>
      <c r="H103" s="938"/>
      <c r="I103" s="938"/>
      <c r="J103" s="939"/>
      <c r="K103" s="939"/>
      <c r="L103" s="940"/>
      <c r="M103" s="941"/>
      <c r="N103" s="1391"/>
      <c r="O103" s="1391"/>
      <c r="P103" s="1380"/>
      <c r="Q103" s="1063"/>
    </row>
    <row r="104" spans="1:17" s="1039" customFormat="1" ht="15" thickBot="1">
      <c r="A104" s="1058"/>
      <c r="B104" s="1055"/>
      <c r="C104" s="903">
        <v>100</v>
      </c>
      <c r="D104" s="879">
        <v>98</v>
      </c>
      <c r="E104" s="879">
        <v>96</v>
      </c>
      <c r="F104" s="879">
        <v>94</v>
      </c>
      <c r="G104" s="879"/>
      <c r="H104" s="879"/>
      <c r="I104" s="879"/>
      <c r="J104" s="879"/>
      <c r="K104" s="879"/>
      <c r="L104" s="879"/>
      <c r="M104" s="880"/>
      <c r="N104" s="1390"/>
      <c r="O104" s="1390"/>
      <c r="P104" s="1380"/>
      <c r="Q104" s="1063"/>
    </row>
    <row r="105" spans="1:17" ht="14.25" thickTop="1">
      <c r="A105" s="175"/>
      <c r="B105" s="1054" t="s">
        <v>1058</v>
      </c>
      <c r="C105" s="3420" t="s">
        <v>3163</v>
      </c>
      <c r="D105" s="3420" t="s">
        <v>3163</v>
      </c>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1059</v>
      </c>
      <c r="C107" s="3420" t="s">
        <v>3164</v>
      </c>
      <c r="D107" s="3420" t="s">
        <v>3165</v>
      </c>
      <c r="E107" s="3420" t="s">
        <v>3166</v>
      </c>
      <c r="F107" s="3423" t="s">
        <v>3167</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110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3424" t="s">
        <v>3168</v>
      </c>
      <c r="D112" s="3424" t="s">
        <v>3169</v>
      </c>
      <c r="E112" s="3424" t="s">
        <v>3170</v>
      </c>
      <c r="F112" s="3424" t="s">
        <v>3171</v>
      </c>
      <c r="G112" s="3424" t="s">
        <v>3172</v>
      </c>
      <c r="H112" s="131"/>
      <c r="I112" s="131"/>
      <c r="J112" s="131"/>
      <c r="K112" s="132"/>
      <c r="L112" s="133"/>
      <c r="M112" s="134"/>
      <c r="N112" s="1391"/>
      <c r="O112" s="1391"/>
      <c r="P112" s="1380"/>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1"/>
      <c r="O113" s="1391"/>
      <c r="P113" s="1380"/>
      <c r="Q113" s="1063"/>
    </row>
    <row r="114" spans="1:17" ht="14.25" thickTop="1">
      <c r="A114" s="175"/>
      <c r="B114" s="1054" t="s">
        <v>1061</v>
      </c>
      <c r="C114" s="3420" t="s">
        <v>3173</v>
      </c>
      <c r="D114" s="3420" t="s">
        <v>3174</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1062</v>
      </c>
      <c r="C116" s="3420" t="s">
        <v>3175</v>
      </c>
      <c r="D116" s="3420" t="s">
        <v>3176</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15" thickTop="1">
      <c r="A118" s="175"/>
      <c r="B118" s="1054" t="s">
        <v>1063</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1033</v>
      </c>
      <c r="C120" s="3423" t="s">
        <v>3177</v>
      </c>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99</v>
      </c>
      <c r="E121" s="887">
        <f t="shared" ref="E121:M121" si="29">D121-$K41</f>
        <v>98</v>
      </c>
      <c r="F121" s="887">
        <f t="shared" si="29"/>
        <v>97</v>
      </c>
      <c r="G121" s="887">
        <f t="shared" si="29"/>
        <v>96</v>
      </c>
      <c r="H121" s="887">
        <f t="shared" si="29"/>
        <v>95</v>
      </c>
      <c r="I121" s="887">
        <f t="shared" si="29"/>
        <v>94</v>
      </c>
      <c r="J121" s="887">
        <f t="shared" si="29"/>
        <v>93</v>
      </c>
      <c r="K121" s="887">
        <f t="shared" si="29"/>
        <v>92</v>
      </c>
      <c r="L121" s="887">
        <f t="shared" si="29"/>
        <v>91</v>
      </c>
      <c r="M121" s="888">
        <f t="shared" si="29"/>
        <v>90</v>
      </c>
      <c r="N121" s="1391"/>
      <c r="O121" s="1391"/>
      <c r="P121" s="1380"/>
      <c r="Q121" s="1063"/>
    </row>
    <row r="122" spans="1:17" ht="14.25" thickTop="1">
      <c r="A122" s="175"/>
      <c r="B122" s="1054" t="s">
        <v>1065</v>
      </c>
      <c r="C122" s="3420" t="s">
        <v>3164</v>
      </c>
      <c r="D122" s="3420" t="s">
        <v>3165</v>
      </c>
      <c r="E122" s="3420" t="s">
        <v>3166</v>
      </c>
      <c r="F122" s="3423" t="s">
        <v>3167</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97</v>
      </c>
      <c r="E123" s="887">
        <f t="shared" si="30"/>
        <v>94</v>
      </c>
      <c r="F123" s="887">
        <f t="shared" si="30"/>
        <v>91</v>
      </c>
      <c r="G123" s="887">
        <f t="shared" si="30"/>
        <v>88</v>
      </c>
      <c r="H123" s="887">
        <f t="shared" si="30"/>
        <v>85</v>
      </c>
      <c r="I123" s="887">
        <f t="shared" si="30"/>
        <v>82</v>
      </c>
      <c r="J123" s="887">
        <f t="shared" si="30"/>
        <v>79</v>
      </c>
      <c r="K123" s="887">
        <f t="shared" si="30"/>
        <v>76</v>
      </c>
      <c r="L123" s="887">
        <f t="shared" si="30"/>
        <v>73</v>
      </c>
      <c r="M123" s="888">
        <f t="shared" si="30"/>
        <v>70</v>
      </c>
      <c r="N123" s="1390"/>
      <c r="O123" s="1390"/>
      <c r="P123" s="1379"/>
      <c r="Q123" s="121"/>
    </row>
    <row r="124" spans="1:17" ht="27.75" thickTop="1">
      <c r="A124" s="175"/>
      <c r="B124" s="1054" t="s">
        <v>1066</v>
      </c>
      <c r="C124" s="181" t="s">
        <v>1047</v>
      </c>
      <c r="D124" s="181" t="s">
        <v>1048</v>
      </c>
      <c r="E124" s="181" t="s">
        <v>1049</v>
      </c>
      <c r="F124" s="181" t="s">
        <v>1050</v>
      </c>
      <c r="G124" s="181" t="s">
        <v>1051</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activeCell="J17" sqref="J17"/>
    </sheetView>
  </sheetViews>
  <sheetFormatPr defaultRowHeight="13.5"/>
  <cols>
    <col min="1" max="1" width="12.875" customWidth="1"/>
    <col min="2" max="2" width="12.5" customWidth="1"/>
    <col min="3" max="3" width="13.375" customWidth="1"/>
    <col min="4" max="4" width="14.875" customWidth="1"/>
    <col min="5" max="5" width="11.75" customWidth="1"/>
  </cols>
  <sheetData>
    <row r="1" spans="1:5">
      <c r="A1" s="3373" t="s">
        <v>3082</v>
      </c>
      <c r="B1" s="3373" t="s">
        <v>3080</v>
      </c>
      <c r="C1" s="3373" t="s">
        <v>3211</v>
      </c>
      <c r="D1" s="3373" t="s">
        <v>3081</v>
      </c>
      <c r="E1" s="3429" t="s">
        <v>3212</v>
      </c>
    </row>
    <row r="2" spans="1:5">
      <c r="A2" s="3374">
        <v>42856</v>
      </c>
      <c r="B2" s="3374">
        <v>43190</v>
      </c>
      <c r="C2" s="3375">
        <f>266192.5</f>
        <v>266192.5</v>
      </c>
      <c r="D2" s="3375">
        <v>0</v>
      </c>
      <c r="E2">
        <v>292342</v>
      </c>
    </row>
    <row r="3" spans="1:5">
      <c r="A3" s="3374">
        <v>43191</v>
      </c>
      <c r="B3" s="3374">
        <v>43555</v>
      </c>
      <c r="C3" s="3375">
        <f>ROUND(C2*(1+D3),2)</f>
        <v>271516.34999999998</v>
      </c>
      <c r="D3" s="3376">
        <v>0.02</v>
      </c>
      <c r="E3" s="3375">
        <f>ROUND(E2*(1+D3),2)</f>
        <v>298188.84000000003</v>
      </c>
    </row>
    <row r="4" spans="1:5">
      <c r="A4" s="3374">
        <v>43556</v>
      </c>
      <c r="B4" s="3374">
        <v>43921</v>
      </c>
      <c r="C4" s="3375">
        <f>ROUND(C3*(1+D4),2)</f>
        <v>276946.68</v>
      </c>
      <c r="D4" s="3376">
        <v>0.02</v>
      </c>
      <c r="E4" s="3375">
        <f t="shared" ref="E4:E7" si="0">ROUND(E3*(1+D4),2)</f>
        <v>304152.62</v>
      </c>
    </row>
    <row r="5" spans="1:5">
      <c r="A5" s="3374">
        <v>43922</v>
      </c>
      <c r="B5" s="3374">
        <v>44286</v>
      </c>
      <c r="C5" s="3375">
        <f t="shared" ref="C5:C7" si="1">ROUND(C4*(1+D5),2)</f>
        <v>285255.08</v>
      </c>
      <c r="D5" s="3376">
        <v>0.03</v>
      </c>
      <c r="E5" s="3375">
        <f t="shared" si="0"/>
        <v>313277.2</v>
      </c>
    </row>
    <row r="6" spans="1:5">
      <c r="A6" s="3374">
        <v>44287</v>
      </c>
      <c r="B6" s="3374">
        <v>44651</v>
      </c>
      <c r="C6" s="3375">
        <f t="shared" si="1"/>
        <v>293812.73</v>
      </c>
      <c r="D6" s="3376">
        <v>0.03</v>
      </c>
      <c r="E6" s="3375">
        <f t="shared" si="0"/>
        <v>322675.52</v>
      </c>
    </row>
    <row r="7" spans="1:5">
      <c r="A7" s="3374">
        <v>44652</v>
      </c>
      <c r="B7" s="3374">
        <v>45016</v>
      </c>
      <c r="C7" s="3375">
        <f t="shared" si="1"/>
        <v>308503.37</v>
      </c>
      <c r="D7" s="3376">
        <v>0.05</v>
      </c>
      <c r="E7" s="3375">
        <f t="shared" si="0"/>
        <v>338809.3</v>
      </c>
    </row>
    <row r="8" spans="1:5">
      <c r="A8" s="3373" t="s">
        <v>3083</v>
      </c>
      <c r="B8" s="3428">
        <f>ROUND((B7-A2)/365.25,2)</f>
        <v>5.91</v>
      </c>
      <c r="C8" s="3375">
        <f>AVERAGE(C2:C7)</f>
        <v>283704.45166666666</v>
      </c>
      <c r="D8" s="3375"/>
      <c r="E8">
        <f>AVERAGE(E2:E7)</f>
        <v>311574.2466666667</v>
      </c>
    </row>
    <row r="9" spans="1:5">
      <c r="A9" s="3373" t="s">
        <v>3084</v>
      </c>
      <c r="B9" s="3375"/>
      <c r="C9" s="3375">
        <f>ROUND(C8/30/3045.67,2)</f>
        <v>3.11</v>
      </c>
      <c r="D9" s="3373" t="s">
        <v>3085</v>
      </c>
      <c r="E9" s="3375">
        <f>ROUND(E8/30/3045.67,2)</f>
        <v>3.41</v>
      </c>
    </row>
    <row r="26" spans="6:9">
      <c r="F26" s="3372"/>
      <c r="G26" s="3372"/>
      <c r="H26" s="3372"/>
      <c r="I26" s="3372"/>
    </row>
    <row r="27" spans="6:9">
      <c r="H27" s="3372"/>
    </row>
    <row r="28" spans="6:9">
      <c r="H28" s="3372"/>
    </row>
    <row r="29" spans="6:9">
      <c r="H29" s="3372"/>
    </row>
  </sheetData>
  <phoneticPr fontId="20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20.25" customHeight="1"/>
  <cols>
    <col min="1" max="1" width="14.25" style="3380" customWidth="1"/>
    <col min="2" max="2" width="18.75" style="3380" customWidth="1"/>
    <col min="3" max="5" width="14.25" style="3380" customWidth="1"/>
    <col min="6" max="6" width="11" style="3380" customWidth="1"/>
    <col min="7" max="7" width="9" style="3380"/>
    <col min="8" max="8" width="13.75" style="3380" customWidth="1"/>
    <col min="9" max="256" width="9" style="3380"/>
    <col min="257" max="257" width="14.25" style="3380" customWidth="1"/>
    <col min="258" max="258" width="18.75" style="3380" customWidth="1"/>
    <col min="259" max="261" width="14.25" style="3380" customWidth="1"/>
    <col min="262" max="262" width="11" style="3380" customWidth="1"/>
    <col min="263" max="263" width="9" style="3380"/>
    <col min="264" max="264" width="13.75" style="3380" customWidth="1"/>
    <col min="265" max="512" width="9" style="3380"/>
    <col min="513" max="513" width="14.25" style="3380" customWidth="1"/>
    <col min="514" max="514" width="18.75" style="3380" customWidth="1"/>
    <col min="515" max="517" width="14.25" style="3380" customWidth="1"/>
    <col min="518" max="518" width="11" style="3380" customWidth="1"/>
    <col min="519" max="519" width="9" style="3380"/>
    <col min="520" max="520" width="13.75" style="3380" customWidth="1"/>
    <col min="521" max="768" width="9" style="3380"/>
    <col min="769" max="769" width="14.25" style="3380" customWidth="1"/>
    <col min="770" max="770" width="18.75" style="3380" customWidth="1"/>
    <col min="771" max="773" width="14.25" style="3380" customWidth="1"/>
    <col min="774" max="774" width="11" style="3380" customWidth="1"/>
    <col min="775" max="775" width="9" style="3380"/>
    <col min="776" max="776" width="13.75" style="3380" customWidth="1"/>
    <col min="777" max="1024" width="9" style="3380"/>
    <col min="1025" max="1025" width="14.25" style="3380" customWidth="1"/>
    <col min="1026" max="1026" width="18.75" style="3380" customWidth="1"/>
    <col min="1027" max="1029" width="14.25" style="3380" customWidth="1"/>
    <col min="1030" max="1030" width="11" style="3380" customWidth="1"/>
    <col min="1031" max="1031" width="9" style="3380"/>
    <col min="1032" max="1032" width="13.75" style="3380" customWidth="1"/>
    <col min="1033" max="1280" width="9" style="3380"/>
    <col min="1281" max="1281" width="14.25" style="3380" customWidth="1"/>
    <col min="1282" max="1282" width="18.75" style="3380" customWidth="1"/>
    <col min="1283" max="1285" width="14.25" style="3380" customWidth="1"/>
    <col min="1286" max="1286" width="11" style="3380" customWidth="1"/>
    <col min="1287" max="1287" width="9" style="3380"/>
    <col min="1288" max="1288" width="13.75" style="3380" customWidth="1"/>
    <col min="1289" max="1536" width="9" style="3380"/>
    <col min="1537" max="1537" width="14.25" style="3380" customWidth="1"/>
    <col min="1538" max="1538" width="18.75" style="3380" customWidth="1"/>
    <col min="1539" max="1541" width="14.25" style="3380" customWidth="1"/>
    <col min="1542" max="1542" width="11" style="3380" customWidth="1"/>
    <col min="1543" max="1543" width="9" style="3380"/>
    <col min="1544" max="1544" width="13.75" style="3380" customWidth="1"/>
    <col min="1545" max="1792" width="9" style="3380"/>
    <col min="1793" max="1793" width="14.25" style="3380" customWidth="1"/>
    <col min="1794" max="1794" width="18.75" style="3380" customWidth="1"/>
    <col min="1795" max="1797" width="14.25" style="3380" customWidth="1"/>
    <col min="1798" max="1798" width="11" style="3380" customWidth="1"/>
    <col min="1799" max="1799" width="9" style="3380"/>
    <col min="1800" max="1800" width="13.75" style="3380" customWidth="1"/>
    <col min="1801" max="2048" width="9" style="3380"/>
    <col min="2049" max="2049" width="14.25" style="3380" customWidth="1"/>
    <col min="2050" max="2050" width="18.75" style="3380" customWidth="1"/>
    <col min="2051" max="2053" width="14.25" style="3380" customWidth="1"/>
    <col min="2054" max="2054" width="11" style="3380" customWidth="1"/>
    <col min="2055" max="2055" width="9" style="3380"/>
    <col min="2056" max="2056" width="13.75" style="3380" customWidth="1"/>
    <col min="2057" max="2304" width="9" style="3380"/>
    <col min="2305" max="2305" width="14.25" style="3380" customWidth="1"/>
    <col min="2306" max="2306" width="18.75" style="3380" customWidth="1"/>
    <col min="2307" max="2309" width="14.25" style="3380" customWidth="1"/>
    <col min="2310" max="2310" width="11" style="3380" customWidth="1"/>
    <col min="2311" max="2311" width="9" style="3380"/>
    <col min="2312" max="2312" width="13.75" style="3380" customWidth="1"/>
    <col min="2313" max="2560" width="9" style="3380"/>
    <col min="2561" max="2561" width="14.25" style="3380" customWidth="1"/>
    <col min="2562" max="2562" width="18.75" style="3380" customWidth="1"/>
    <col min="2563" max="2565" width="14.25" style="3380" customWidth="1"/>
    <col min="2566" max="2566" width="11" style="3380" customWidth="1"/>
    <col min="2567" max="2567" width="9" style="3380"/>
    <col min="2568" max="2568" width="13.75" style="3380" customWidth="1"/>
    <col min="2569" max="2816" width="9" style="3380"/>
    <col min="2817" max="2817" width="14.25" style="3380" customWidth="1"/>
    <col min="2818" max="2818" width="18.75" style="3380" customWidth="1"/>
    <col min="2819" max="2821" width="14.25" style="3380" customWidth="1"/>
    <col min="2822" max="2822" width="11" style="3380" customWidth="1"/>
    <col min="2823" max="2823" width="9" style="3380"/>
    <col min="2824" max="2824" width="13.75" style="3380" customWidth="1"/>
    <col min="2825" max="3072" width="9" style="3380"/>
    <col min="3073" max="3073" width="14.25" style="3380" customWidth="1"/>
    <col min="3074" max="3074" width="18.75" style="3380" customWidth="1"/>
    <col min="3075" max="3077" width="14.25" style="3380" customWidth="1"/>
    <col min="3078" max="3078" width="11" style="3380" customWidth="1"/>
    <col min="3079" max="3079" width="9" style="3380"/>
    <col min="3080" max="3080" width="13.75" style="3380" customWidth="1"/>
    <col min="3081" max="3328" width="9" style="3380"/>
    <col min="3329" max="3329" width="14.25" style="3380" customWidth="1"/>
    <col min="3330" max="3330" width="18.75" style="3380" customWidth="1"/>
    <col min="3331" max="3333" width="14.25" style="3380" customWidth="1"/>
    <col min="3334" max="3334" width="11" style="3380" customWidth="1"/>
    <col min="3335" max="3335" width="9" style="3380"/>
    <col min="3336" max="3336" width="13.75" style="3380" customWidth="1"/>
    <col min="3337" max="3584" width="9" style="3380"/>
    <col min="3585" max="3585" width="14.25" style="3380" customWidth="1"/>
    <col min="3586" max="3586" width="18.75" style="3380" customWidth="1"/>
    <col min="3587" max="3589" width="14.25" style="3380" customWidth="1"/>
    <col min="3590" max="3590" width="11" style="3380" customWidth="1"/>
    <col min="3591" max="3591" width="9" style="3380"/>
    <col min="3592" max="3592" width="13.75" style="3380" customWidth="1"/>
    <col min="3593" max="3840" width="9" style="3380"/>
    <col min="3841" max="3841" width="14.25" style="3380" customWidth="1"/>
    <col min="3842" max="3842" width="18.75" style="3380" customWidth="1"/>
    <col min="3843" max="3845" width="14.25" style="3380" customWidth="1"/>
    <col min="3846" max="3846" width="11" style="3380" customWidth="1"/>
    <col min="3847" max="3847" width="9" style="3380"/>
    <col min="3848" max="3848" width="13.75" style="3380" customWidth="1"/>
    <col min="3849" max="4096" width="9" style="3380"/>
    <col min="4097" max="4097" width="14.25" style="3380" customWidth="1"/>
    <col min="4098" max="4098" width="18.75" style="3380" customWidth="1"/>
    <col min="4099" max="4101" width="14.25" style="3380" customWidth="1"/>
    <col min="4102" max="4102" width="11" style="3380" customWidth="1"/>
    <col min="4103" max="4103" width="9" style="3380"/>
    <col min="4104" max="4104" width="13.75" style="3380" customWidth="1"/>
    <col min="4105" max="4352" width="9" style="3380"/>
    <col min="4353" max="4353" width="14.25" style="3380" customWidth="1"/>
    <col min="4354" max="4354" width="18.75" style="3380" customWidth="1"/>
    <col min="4355" max="4357" width="14.25" style="3380" customWidth="1"/>
    <col min="4358" max="4358" width="11" style="3380" customWidth="1"/>
    <col min="4359" max="4359" width="9" style="3380"/>
    <col min="4360" max="4360" width="13.75" style="3380" customWidth="1"/>
    <col min="4361" max="4608" width="9" style="3380"/>
    <col min="4609" max="4609" width="14.25" style="3380" customWidth="1"/>
    <col min="4610" max="4610" width="18.75" style="3380" customWidth="1"/>
    <col min="4611" max="4613" width="14.25" style="3380" customWidth="1"/>
    <col min="4614" max="4614" width="11" style="3380" customWidth="1"/>
    <col min="4615" max="4615" width="9" style="3380"/>
    <col min="4616" max="4616" width="13.75" style="3380" customWidth="1"/>
    <col min="4617" max="4864" width="9" style="3380"/>
    <col min="4865" max="4865" width="14.25" style="3380" customWidth="1"/>
    <col min="4866" max="4866" width="18.75" style="3380" customWidth="1"/>
    <col min="4867" max="4869" width="14.25" style="3380" customWidth="1"/>
    <col min="4870" max="4870" width="11" style="3380" customWidth="1"/>
    <col min="4871" max="4871" width="9" style="3380"/>
    <col min="4872" max="4872" width="13.75" style="3380" customWidth="1"/>
    <col min="4873" max="5120" width="9" style="3380"/>
    <col min="5121" max="5121" width="14.25" style="3380" customWidth="1"/>
    <col min="5122" max="5122" width="18.75" style="3380" customWidth="1"/>
    <col min="5123" max="5125" width="14.25" style="3380" customWidth="1"/>
    <col min="5126" max="5126" width="11" style="3380" customWidth="1"/>
    <col min="5127" max="5127" width="9" style="3380"/>
    <col min="5128" max="5128" width="13.75" style="3380" customWidth="1"/>
    <col min="5129" max="5376" width="9" style="3380"/>
    <col min="5377" max="5377" width="14.25" style="3380" customWidth="1"/>
    <col min="5378" max="5378" width="18.75" style="3380" customWidth="1"/>
    <col min="5379" max="5381" width="14.25" style="3380" customWidth="1"/>
    <col min="5382" max="5382" width="11" style="3380" customWidth="1"/>
    <col min="5383" max="5383" width="9" style="3380"/>
    <col min="5384" max="5384" width="13.75" style="3380" customWidth="1"/>
    <col min="5385" max="5632" width="9" style="3380"/>
    <col min="5633" max="5633" width="14.25" style="3380" customWidth="1"/>
    <col min="5634" max="5634" width="18.75" style="3380" customWidth="1"/>
    <col min="5635" max="5637" width="14.25" style="3380" customWidth="1"/>
    <col min="5638" max="5638" width="11" style="3380" customWidth="1"/>
    <col min="5639" max="5639" width="9" style="3380"/>
    <col min="5640" max="5640" width="13.75" style="3380" customWidth="1"/>
    <col min="5641" max="5888" width="9" style="3380"/>
    <col min="5889" max="5889" width="14.25" style="3380" customWidth="1"/>
    <col min="5890" max="5890" width="18.75" style="3380" customWidth="1"/>
    <col min="5891" max="5893" width="14.25" style="3380" customWidth="1"/>
    <col min="5894" max="5894" width="11" style="3380" customWidth="1"/>
    <col min="5895" max="5895" width="9" style="3380"/>
    <col min="5896" max="5896" width="13.75" style="3380" customWidth="1"/>
    <col min="5897" max="6144" width="9" style="3380"/>
    <col min="6145" max="6145" width="14.25" style="3380" customWidth="1"/>
    <col min="6146" max="6146" width="18.75" style="3380" customWidth="1"/>
    <col min="6147" max="6149" width="14.25" style="3380" customWidth="1"/>
    <col min="6150" max="6150" width="11" style="3380" customWidth="1"/>
    <col min="6151" max="6151" width="9" style="3380"/>
    <col min="6152" max="6152" width="13.75" style="3380" customWidth="1"/>
    <col min="6153" max="6400" width="9" style="3380"/>
    <col min="6401" max="6401" width="14.25" style="3380" customWidth="1"/>
    <col min="6402" max="6402" width="18.75" style="3380" customWidth="1"/>
    <col min="6403" max="6405" width="14.25" style="3380" customWidth="1"/>
    <col min="6406" max="6406" width="11" style="3380" customWidth="1"/>
    <col min="6407" max="6407" width="9" style="3380"/>
    <col min="6408" max="6408" width="13.75" style="3380" customWidth="1"/>
    <col min="6409" max="6656" width="9" style="3380"/>
    <col min="6657" max="6657" width="14.25" style="3380" customWidth="1"/>
    <col min="6658" max="6658" width="18.75" style="3380" customWidth="1"/>
    <col min="6659" max="6661" width="14.25" style="3380" customWidth="1"/>
    <col min="6662" max="6662" width="11" style="3380" customWidth="1"/>
    <col min="6663" max="6663" width="9" style="3380"/>
    <col min="6664" max="6664" width="13.75" style="3380" customWidth="1"/>
    <col min="6665" max="6912" width="9" style="3380"/>
    <col min="6913" max="6913" width="14.25" style="3380" customWidth="1"/>
    <col min="6914" max="6914" width="18.75" style="3380" customWidth="1"/>
    <col min="6915" max="6917" width="14.25" style="3380" customWidth="1"/>
    <col min="6918" max="6918" width="11" style="3380" customWidth="1"/>
    <col min="6919" max="6919" width="9" style="3380"/>
    <col min="6920" max="6920" width="13.75" style="3380" customWidth="1"/>
    <col min="6921" max="7168" width="9" style="3380"/>
    <col min="7169" max="7169" width="14.25" style="3380" customWidth="1"/>
    <col min="7170" max="7170" width="18.75" style="3380" customWidth="1"/>
    <col min="7171" max="7173" width="14.25" style="3380" customWidth="1"/>
    <col min="7174" max="7174" width="11" style="3380" customWidth="1"/>
    <col min="7175" max="7175" width="9" style="3380"/>
    <col min="7176" max="7176" width="13.75" style="3380" customWidth="1"/>
    <col min="7177" max="7424" width="9" style="3380"/>
    <col min="7425" max="7425" width="14.25" style="3380" customWidth="1"/>
    <col min="7426" max="7426" width="18.75" style="3380" customWidth="1"/>
    <col min="7427" max="7429" width="14.25" style="3380" customWidth="1"/>
    <col min="7430" max="7430" width="11" style="3380" customWidth="1"/>
    <col min="7431" max="7431" width="9" style="3380"/>
    <col min="7432" max="7432" width="13.75" style="3380" customWidth="1"/>
    <col min="7433" max="7680" width="9" style="3380"/>
    <col min="7681" max="7681" width="14.25" style="3380" customWidth="1"/>
    <col min="7682" max="7682" width="18.75" style="3380" customWidth="1"/>
    <col min="7683" max="7685" width="14.25" style="3380" customWidth="1"/>
    <col min="7686" max="7686" width="11" style="3380" customWidth="1"/>
    <col min="7687" max="7687" width="9" style="3380"/>
    <col min="7688" max="7688" width="13.75" style="3380" customWidth="1"/>
    <col min="7689" max="7936" width="9" style="3380"/>
    <col min="7937" max="7937" width="14.25" style="3380" customWidth="1"/>
    <col min="7938" max="7938" width="18.75" style="3380" customWidth="1"/>
    <col min="7939" max="7941" width="14.25" style="3380" customWidth="1"/>
    <col min="7942" max="7942" width="11" style="3380" customWidth="1"/>
    <col min="7943" max="7943" width="9" style="3380"/>
    <col min="7944" max="7944" width="13.75" style="3380" customWidth="1"/>
    <col min="7945" max="8192" width="9" style="3380"/>
    <col min="8193" max="8193" width="14.25" style="3380" customWidth="1"/>
    <col min="8194" max="8194" width="18.75" style="3380" customWidth="1"/>
    <col min="8195" max="8197" width="14.25" style="3380" customWidth="1"/>
    <col min="8198" max="8198" width="11" style="3380" customWidth="1"/>
    <col min="8199" max="8199" width="9" style="3380"/>
    <col min="8200" max="8200" width="13.75" style="3380" customWidth="1"/>
    <col min="8201" max="8448" width="9" style="3380"/>
    <col min="8449" max="8449" width="14.25" style="3380" customWidth="1"/>
    <col min="8450" max="8450" width="18.75" style="3380" customWidth="1"/>
    <col min="8451" max="8453" width="14.25" style="3380" customWidth="1"/>
    <col min="8454" max="8454" width="11" style="3380" customWidth="1"/>
    <col min="8455" max="8455" width="9" style="3380"/>
    <col min="8456" max="8456" width="13.75" style="3380" customWidth="1"/>
    <col min="8457" max="8704" width="9" style="3380"/>
    <col min="8705" max="8705" width="14.25" style="3380" customWidth="1"/>
    <col min="8706" max="8706" width="18.75" style="3380" customWidth="1"/>
    <col min="8707" max="8709" width="14.25" style="3380" customWidth="1"/>
    <col min="8710" max="8710" width="11" style="3380" customWidth="1"/>
    <col min="8711" max="8711" width="9" style="3380"/>
    <col min="8712" max="8712" width="13.75" style="3380" customWidth="1"/>
    <col min="8713" max="8960" width="9" style="3380"/>
    <col min="8961" max="8961" width="14.25" style="3380" customWidth="1"/>
    <col min="8962" max="8962" width="18.75" style="3380" customWidth="1"/>
    <col min="8963" max="8965" width="14.25" style="3380" customWidth="1"/>
    <col min="8966" max="8966" width="11" style="3380" customWidth="1"/>
    <col min="8967" max="8967" width="9" style="3380"/>
    <col min="8968" max="8968" width="13.75" style="3380" customWidth="1"/>
    <col min="8969" max="9216" width="9" style="3380"/>
    <col min="9217" max="9217" width="14.25" style="3380" customWidth="1"/>
    <col min="9218" max="9218" width="18.75" style="3380" customWidth="1"/>
    <col min="9219" max="9221" width="14.25" style="3380" customWidth="1"/>
    <col min="9222" max="9222" width="11" style="3380" customWidth="1"/>
    <col min="9223" max="9223" width="9" style="3380"/>
    <col min="9224" max="9224" width="13.75" style="3380" customWidth="1"/>
    <col min="9225" max="9472" width="9" style="3380"/>
    <col min="9473" max="9473" width="14.25" style="3380" customWidth="1"/>
    <col min="9474" max="9474" width="18.75" style="3380" customWidth="1"/>
    <col min="9475" max="9477" width="14.25" style="3380" customWidth="1"/>
    <col min="9478" max="9478" width="11" style="3380" customWidth="1"/>
    <col min="9479" max="9479" width="9" style="3380"/>
    <col min="9480" max="9480" width="13.75" style="3380" customWidth="1"/>
    <col min="9481" max="9728" width="9" style="3380"/>
    <col min="9729" max="9729" width="14.25" style="3380" customWidth="1"/>
    <col min="9730" max="9730" width="18.75" style="3380" customWidth="1"/>
    <col min="9731" max="9733" width="14.25" style="3380" customWidth="1"/>
    <col min="9734" max="9734" width="11" style="3380" customWidth="1"/>
    <col min="9735" max="9735" width="9" style="3380"/>
    <col min="9736" max="9736" width="13.75" style="3380" customWidth="1"/>
    <col min="9737" max="9984" width="9" style="3380"/>
    <col min="9985" max="9985" width="14.25" style="3380" customWidth="1"/>
    <col min="9986" max="9986" width="18.75" style="3380" customWidth="1"/>
    <col min="9987" max="9989" width="14.25" style="3380" customWidth="1"/>
    <col min="9990" max="9990" width="11" style="3380" customWidth="1"/>
    <col min="9991" max="9991" width="9" style="3380"/>
    <col min="9992" max="9992" width="13.75" style="3380" customWidth="1"/>
    <col min="9993" max="10240" width="9" style="3380"/>
    <col min="10241" max="10241" width="14.25" style="3380" customWidth="1"/>
    <col min="10242" max="10242" width="18.75" style="3380" customWidth="1"/>
    <col min="10243" max="10245" width="14.25" style="3380" customWidth="1"/>
    <col min="10246" max="10246" width="11" style="3380" customWidth="1"/>
    <col min="10247" max="10247" width="9" style="3380"/>
    <col min="10248" max="10248" width="13.75" style="3380" customWidth="1"/>
    <col min="10249" max="10496" width="9" style="3380"/>
    <col min="10497" max="10497" width="14.25" style="3380" customWidth="1"/>
    <col min="10498" max="10498" width="18.75" style="3380" customWidth="1"/>
    <col min="10499" max="10501" width="14.25" style="3380" customWidth="1"/>
    <col min="10502" max="10502" width="11" style="3380" customWidth="1"/>
    <col min="10503" max="10503" width="9" style="3380"/>
    <col min="10504" max="10504" width="13.75" style="3380" customWidth="1"/>
    <col min="10505" max="10752" width="9" style="3380"/>
    <col min="10753" max="10753" width="14.25" style="3380" customWidth="1"/>
    <col min="10754" max="10754" width="18.75" style="3380" customWidth="1"/>
    <col min="10755" max="10757" width="14.25" style="3380" customWidth="1"/>
    <col min="10758" max="10758" width="11" style="3380" customWidth="1"/>
    <col min="10759" max="10759" width="9" style="3380"/>
    <col min="10760" max="10760" width="13.75" style="3380" customWidth="1"/>
    <col min="10761" max="11008" width="9" style="3380"/>
    <col min="11009" max="11009" width="14.25" style="3380" customWidth="1"/>
    <col min="11010" max="11010" width="18.75" style="3380" customWidth="1"/>
    <col min="11011" max="11013" width="14.25" style="3380" customWidth="1"/>
    <col min="11014" max="11014" width="11" style="3380" customWidth="1"/>
    <col min="11015" max="11015" width="9" style="3380"/>
    <col min="11016" max="11016" width="13.75" style="3380" customWidth="1"/>
    <col min="11017" max="11264" width="9" style="3380"/>
    <col min="11265" max="11265" width="14.25" style="3380" customWidth="1"/>
    <col min="11266" max="11266" width="18.75" style="3380" customWidth="1"/>
    <col min="11267" max="11269" width="14.25" style="3380" customWidth="1"/>
    <col min="11270" max="11270" width="11" style="3380" customWidth="1"/>
    <col min="11271" max="11271" width="9" style="3380"/>
    <col min="11272" max="11272" width="13.75" style="3380" customWidth="1"/>
    <col min="11273" max="11520" width="9" style="3380"/>
    <col min="11521" max="11521" width="14.25" style="3380" customWidth="1"/>
    <col min="11522" max="11522" width="18.75" style="3380" customWidth="1"/>
    <col min="11523" max="11525" width="14.25" style="3380" customWidth="1"/>
    <col min="11526" max="11526" width="11" style="3380" customWidth="1"/>
    <col min="11527" max="11527" width="9" style="3380"/>
    <col min="11528" max="11528" width="13.75" style="3380" customWidth="1"/>
    <col min="11529" max="11776" width="9" style="3380"/>
    <col min="11777" max="11777" width="14.25" style="3380" customWidth="1"/>
    <col min="11778" max="11778" width="18.75" style="3380" customWidth="1"/>
    <col min="11779" max="11781" width="14.25" style="3380" customWidth="1"/>
    <col min="11782" max="11782" width="11" style="3380" customWidth="1"/>
    <col min="11783" max="11783" width="9" style="3380"/>
    <col min="11784" max="11784" width="13.75" style="3380" customWidth="1"/>
    <col min="11785" max="12032" width="9" style="3380"/>
    <col min="12033" max="12033" width="14.25" style="3380" customWidth="1"/>
    <col min="12034" max="12034" width="18.75" style="3380" customWidth="1"/>
    <col min="12035" max="12037" width="14.25" style="3380" customWidth="1"/>
    <col min="12038" max="12038" width="11" style="3380" customWidth="1"/>
    <col min="12039" max="12039" width="9" style="3380"/>
    <col min="12040" max="12040" width="13.75" style="3380" customWidth="1"/>
    <col min="12041" max="12288" width="9" style="3380"/>
    <col min="12289" max="12289" width="14.25" style="3380" customWidth="1"/>
    <col min="12290" max="12290" width="18.75" style="3380" customWidth="1"/>
    <col min="12291" max="12293" width="14.25" style="3380" customWidth="1"/>
    <col min="12294" max="12294" width="11" style="3380" customWidth="1"/>
    <col min="12295" max="12295" width="9" style="3380"/>
    <col min="12296" max="12296" width="13.75" style="3380" customWidth="1"/>
    <col min="12297" max="12544" width="9" style="3380"/>
    <col min="12545" max="12545" width="14.25" style="3380" customWidth="1"/>
    <col min="12546" max="12546" width="18.75" style="3380" customWidth="1"/>
    <col min="12547" max="12549" width="14.25" style="3380" customWidth="1"/>
    <col min="12550" max="12550" width="11" style="3380" customWidth="1"/>
    <col min="12551" max="12551" width="9" style="3380"/>
    <col min="12552" max="12552" width="13.75" style="3380" customWidth="1"/>
    <col min="12553" max="12800" width="9" style="3380"/>
    <col min="12801" max="12801" width="14.25" style="3380" customWidth="1"/>
    <col min="12802" max="12802" width="18.75" style="3380" customWidth="1"/>
    <col min="12803" max="12805" width="14.25" style="3380" customWidth="1"/>
    <col min="12806" max="12806" width="11" style="3380" customWidth="1"/>
    <col min="12807" max="12807" width="9" style="3380"/>
    <col min="12808" max="12808" width="13.75" style="3380" customWidth="1"/>
    <col min="12809" max="13056" width="9" style="3380"/>
    <col min="13057" max="13057" width="14.25" style="3380" customWidth="1"/>
    <col min="13058" max="13058" width="18.75" style="3380" customWidth="1"/>
    <col min="13059" max="13061" width="14.25" style="3380" customWidth="1"/>
    <col min="13062" max="13062" width="11" style="3380" customWidth="1"/>
    <col min="13063" max="13063" width="9" style="3380"/>
    <col min="13064" max="13064" width="13.75" style="3380" customWidth="1"/>
    <col min="13065" max="13312" width="9" style="3380"/>
    <col min="13313" max="13313" width="14.25" style="3380" customWidth="1"/>
    <col min="13314" max="13314" width="18.75" style="3380" customWidth="1"/>
    <col min="13315" max="13317" width="14.25" style="3380" customWidth="1"/>
    <col min="13318" max="13318" width="11" style="3380" customWidth="1"/>
    <col min="13319" max="13319" width="9" style="3380"/>
    <col min="13320" max="13320" width="13.75" style="3380" customWidth="1"/>
    <col min="13321" max="13568" width="9" style="3380"/>
    <col min="13569" max="13569" width="14.25" style="3380" customWidth="1"/>
    <col min="13570" max="13570" width="18.75" style="3380" customWidth="1"/>
    <col min="13571" max="13573" width="14.25" style="3380" customWidth="1"/>
    <col min="13574" max="13574" width="11" style="3380" customWidth="1"/>
    <col min="13575" max="13575" width="9" style="3380"/>
    <col min="13576" max="13576" width="13.75" style="3380" customWidth="1"/>
    <col min="13577" max="13824" width="9" style="3380"/>
    <col min="13825" max="13825" width="14.25" style="3380" customWidth="1"/>
    <col min="13826" max="13826" width="18.75" style="3380" customWidth="1"/>
    <col min="13827" max="13829" width="14.25" style="3380" customWidth="1"/>
    <col min="13830" max="13830" width="11" style="3380" customWidth="1"/>
    <col min="13831" max="13831" width="9" style="3380"/>
    <col min="13832" max="13832" width="13.75" style="3380" customWidth="1"/>
    <col min="13833" max="14080" width="9" style="3380"/>
    <col min="14081" max="14081" width="14.25" style="3380" customWidth="1"/>
    <col min="14082" max="14082" width="18.75" style="3380" customWidth="1"/>
    <col min="14083" max="14085" width="14.25" style="3380" customWidth="1"/>
    <col min="14086" max="14086" width="11" style="3380" customWidth="1"/>
    <col min="14087" max="14087" width="9" style="3380"/>
    <col min="14088" max="14088" width="13.75" style="3380" customWidth="1"/>
    <col min="14089" max="14336" width="9" style="3380"/>
    <col min="14337" max="14337" width="14.25" style="3380" customWidth="1"/>
    <col min="14338" max="14338" width="18.75" style="3380" customWidth="1"/>
    <col min="14339" max="14341" width="14.25" style="3380" customWidth="1"/>
    <col min="14342" max="14342" width="11" style="3380" customWidth="1"/>
    <col min="14343" max="14343" width="9" style="3380"/>
    <col min="14344" max="14344" width="13.75" style="3380" customWidth="1"/>
    <col min="14345" max="14592" width="9" style="3380"/>
    <col min="14593" max="14593" width="14.25" style="3380" customWidth="1"/>
    <col min="14594" max="14594" width="18.75" style="3380" customWidth="1"/>
    <col min="14595" max="14597" width="14.25" style="3380" customWidth="1"/>
    <col min="14598" max="14598" width="11" style="3380" customWidth="1"/>
    <col min="14599" max="14599" width="9" style="3380"/>
    <col min="14600" max="14600" width="13.75" style="3380" customWidth="1"/>
    <col min="14601" max="14848" width="9" style="3380"/>
    <col min="14849" max="14849" width="14.25" style="3380" customWidth="1"/>
    <col min="14850" max="14850" width="18.75" style="3380" customWidth="1"/>
    <col min="14851" max="14853" width="14.25" style="3380" customWidth="1"/>
    <col min="14854" max="14854" width="11" style="3380" customWidth="1"/>
    <col min="14855" max="14855" width="9" style="3380"/>
    <col min="14856" max="14856" width="13.75" style="3380" customWidth="1"/>
    <col min="14857" max="15104" width="9" style="3380"/>
    <col min="15105" max="15105" width="14.25" style="3380" customWidth="1"/>
    <col min="15106" max="15106" width="18.75" style="3380" customWidth="1"/>
    <col min="15107" max="15109" width="14.25" style="3380" customWidth="1"/>
    <col min="15110" max="15110" width="11" style="3380" customWidth="1"/>
    <col min="15111" max="15111" width="9" style="3380"/>
    <col min="15112" max="15112" width="13.75" style="3380" customWidth="1"/>
    <col min="15113" max="15360" width="9" style="3380"/>
    <col min="15361" max="15361" width="14.25" style="3380" customWidth="1"/>
    <col min="15362" max="15362" width="18.75" style="3380" customWidth="1"/>
    <col min="15363" max="15365" width="14.25" style="3380" customWidth="1"/>
    <col min="15366" max="15366" width="11" style="3380" customWidth="1"/>
    <col min="15367" max="15367" width="9" style="3380"/>
    <col min="15368" max="15368" width="13.75" style="3380" customWidth="1"/>
    <col min="15369" max="15616" width="9" style="3380"/>
    <col min="15617" max="15617" width="14.25" style="3380" customWidth="1"/>
    <col min="15618" max="15618" width="18.75" style="3380" customWidth="1"/>
    <col min="15619" max="15621" width="14.25" style="3380" customWidth="1"/>
    <col min="15622" max="15622" width="11" style="3380" customWidth="1"/>
    <col min="15623" max="15623" width="9" style="3380"/>
    <col min="15624" max="15624" width="13.75" style="3380" customWidth="1"/>
    <col min="15625" max="15872" width="9" style="3380"/>
    <col min="15873" max="15873" width="14.25" style="3380" customWidth="1"/>
    <col min="15874" max="15874" width="18.75" style="3380" customWidth="1"/>
    <col min="15875" max="15877" width="14.25" style="3380" customWidth="1"/>
    <col min="15878" max="15878" width="11" style="3380" customWidth="1"/>
    <col min="15879" max="15879" width="9" style="3380"/>
    <col min="15880" max="15880" width="13.75" style="3380" customWidth="1"/>
    <col min="15881" max="16128" width="9" style="3380"/>
    <col min="16129" max="16129" width="14.25" style="3380" customWidth="1"/>
    <col min="16130" max="16130" width="18.75" style="3380" customWidth="1"/>
    <col min="16131" max="16133" width="14.25" style="3380" customWidth="1"/>
    <col min="16134" max="16134" width="11" style="3380" customWidth="1"/>
    <col min="16135" max="16135" width="9" style="3380"/>
    <col min="16136" max="16136" width="13.75" style="3380" customWidth="1"/>
    <col min="16137" max="16384" width="9" style="3380"/>
  </cols>
  <sheetData>
    <row r="1" spans="1:6" ht="20.25" customHeight="1" thickBot="1">
      <c r="A1" s="3378" t="s">
        <v>215</v>
      </c>
      <c r="B1" s="3379">
        <f>项目基本情况!B3</f>
        <v>42997</v>
      </c>
    </row>
    <row r="2" spans="1:6" ht="33" customHeight="1">
      <c r="A2" s="3381" t="s">
        <v>3106</v>
      </c>
      <c r="B2" s="3382" t="s">
        <v>3107</v>
      </c>
      <c r="C2" s="3383" t="s">
        <v>3108</v>
      </c>
      <c r="D2" s="3382" t="s">
        <v>3109</v>
      </c>
      <c r="E2" s="3384" t="s">
        <v>3110</v>
      </c>
    </row>
    <row r="3" spans="1:6" ht="20.25" customHeight="1">
      <c r="A3" s="3385">
        <v>40</v>
      </c>
      <c r="B3" s="3386">
        <f>租金!B7</f>
        <v>45016</v>
      </c>
      <c r="C3" s="3387">
        <f>ROUNDDOWN(MIN((B3-$B$1)/365,A3),2)</f>
        <v>5.53</v>
      </c>
      <c r="D3" s="3388">
        <f>IF(ISERROR(ROUND(POWER(1+E3,A3-C3)*(POWER(1+E3,C3)-1)/(POWER(1+E3,A3)-1),3)),0,ROUND(POWER(1+E3,A3-C3)*(POWER(1+E3,C3)-1)/(POWER(1+E3,A3)-1),3))</f>
        <v>0.26100000000000001</v>
      </c>
      <c r="E3" s="3389">
        <f>'数据-取费表'!H6</f>
        <v>4.4999999999999998E-2</v>
      </c>
    </row>
    <row r="4" spans="1:6" ht="20.25" customHeight="1">
      <c r="A4" s="3385">
        <v>50</v>
      </c>
      <c r="B4" s="3386">
        <v>50028</v>
      </c>
      <c r="C4" s="3387">
        <f>ROUNDDOWN(MIN((B4-$B$1)/365,A4),2)</f>
        <v>19.260000000000002</v>
      </c>
      <c r="D4" s="3388">
        <f>IF(ISERROR(ROUND(POWER(1+E4,A4-C4)*(POWER(1+E4,C4)-1)/(POWER(1+E4,A4)-1),3)),0,ROUND(POWER(1+E4,A4-C4)*(POWER(1+E4,C4)-1)/(POWER(1+E4,A4)-1),3))</f>
        <v>0.61699999999999999</v>
      </c>
      <c r="E4" s="3389">
        <v>0.04</v>
      </c>
    </row>
    <row r="5" spans="1:6" ht="20.25" customHeight="1" thickBot="1">
      <c r="A5" s="3390">
        <v>70</v>
      </c>
      <c r="B5" s="3391">
        <v>57333</v>
      </c>
      <c r="C5" s="3392">
        <f>ROUNDDOWN(MIN((B5-$B$1)/365,A5),2)</f>
        <v>39.270000000000003</v>
      </c>
      <c r="D5" s="3393">
        <f>IF(ISERROR(ROUND(POWER(1+E5,A5-C5)*(POWER(1+E5,C5)-1)/(POWER(1+E5,A5)-1),3)),0,ROUND(POWER(1+E5,A5-C5)*(POWER(1+E5,C5)-1)/(POWER(1+E5,A5)-1),3))</f>
        <v>0.84</v>
      </c>
      <c r="E5" s="3394">
        <v>0.04</v>
      </c>
    </row>
    <row r="6" spans="1:6" ht="20.25" customHeight="1" thickBot="1"/>
    <row r="7" spans="1:6" s="3397" customFormat="1" ht="20.25" customHeight="1" thickBot="1">
      <c r="A7" s="3395" t="s">
        <v>3111</v>
      </c>
      <c r="B7" s="3396"/>
    </row>
    <row r="8" spans="1:6" ht="20.25" customHeight="1" thickBot="1">
      <c r="A8" s="3809" t="s">
        <v>3112</v>
      </c>
      <c r="B8" s="3810"/>
      <c r="C8" s="3398"/>
      <c r="D8" s="3399" t="s">
        <v>3110</v>
      </c>
      <c r="E8" s="3398"/>
      <c r="F8" s="3400" t="s">
        <v>3109</v>
      </c>
    </row>
    <row r="9" spans="1:6" ht="20.25" customHeight="1">
      <c r="A9" s="3401" t="s">
        <v>3113</v>
      </c>
      <c r="B9" s="3402">
        <v>70</v>
      </c>
      <c r="C9" s="3403" t="s">
        <v>3114</v>
      </c>
      <c r="D9" s="3404">
        <v>4.4999999999999998E-2</v>
      </c>
      <c r="E9" s="3403" t="s">
        <v>3115</v>
      </c>
      <c r="F9" s="3405">
        <f>1-(1/(POWER(1+D9,B9)))</f>
        <v>0.95409503414356267</v>
      </c>
    </row>
    <row r="10" spans="1:6" ht="20.25" customHeight="1" thickBot="1">
      <c r="A10" s="3406" t="s">
        <v>3116</v>
      </c>
      <c r="B10" s="3407">
        <v>40</v>
      </c>
      <c r="C10" s="3408" t="s">
        <v>3117</v>
      </c>
      <c r="D10" s="3409">
        <v>4.4999999999999998E-2</v>
      </c>
      <c r="E10" s="3408" t="s">
        <v>3118</v>
      </c>
      <c r="F10" s="3410">
        <f>1-(1/(POWER(1+D10,B10)))</f>
        <v>0.8280712989125899</v>
      </c>
    </row>
    <row r="11" spans="1:6" ht="20.25" customHeight="1" thickBot="1">
      <c r="A11" s="3411" t="s">
        <v>3119</v>
      </c>
      <c r="B11" s="3412"/>
      <c r="C11" s="3412"/>
      <c r="D11" s="3412"/>
      <c r="E11" s="3412"/>
      <c r="F11" s="3412"/>
    </row>
    <row r="12" spans="1:6" ht="20.25" customHeight="1">
      <c r="A12" s="3401" t="s">
        <v>3120</v>
      </c>
      <c r="B12" s="3413">
        <v>5000</v>
      </c>
      <c r="E12" s="3414"/>
      <c r="F12" s="3414"/>
    </row>
    <row r="13" spans="1:6" ht="20.25" customHeight="1" thickBot="1">
      <c r="A13" s="3406" t="s">
        <v>3121</v>
      </c>
      <c r="B13" s="3415">
        <f>ROUND(B12*F10/F9,2)</f>
        <v>4339.5600000000004</v>
      </c>
      <c r="C13" s="3416">
        <f>ROUND(F10/F9,4)</f>
        <v>0.8679</v>
      </c>
      <c r="E13" s="3414"/>
      <c r="F13" s="3414"/>
    </row>
    <row r="14" spans="1:6" ht="20.25" customHeight="1" thickBot="1">
      <c r="A14" s="3411" t="s">
        <v>3122</v>
      </c>
      <c r="B14" s="3417"/>
      <c r="C14" s="3414"/>
    </row>
    <row r="15" spans="1:6" ht="20.25" customHeight="1">
      <c r="A15" s="3403" t="s">
        <v>3123</v>
      </c>
      <c r="B15" s="3418">
        <v>4810</v>
      </c>
      <c r="C15" s="3414"/>
    </row>
    <row r="16" spans="1:6" ht="20.25" customHeight="1" thickBot="1">
      <c r="A16" s="3408" t="s">
        <v>3124</v>
      </c>
      <c r="B16" s="3419">
        <f>ROUND(B15*F9/F10,2)</f>
        <v>5542.03</v>
      </c>
      <c r="C16" s="3416">
        <f>ROUND(F9/F10,4)</f>
        <v>1.1521999999999999</v>
      </c>
    </row>
    <row r="17" spans="3:3" ht="20.25" customHeight="1">
      <c r="C17" s="3414"/>
    </row>
  </sheetData>
  <sheetProtection sheet="1"/>
  <mergeCells count="1">
    <mergeCell ref="A8:B8"/>
  </mergeCells>
  <phoneticPr fontId="205"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51" t="str">
        <f>IF(项目基本情况!B9="房地产市场价值","估价结果一览表","结果表-2")</f>
        <v>结果表-2</v>
      </c>
      <c r="B1" s="3451"/>
      <c r="C1" s="3451"/>
      <c r="D1" s="3451"/>
      <c r="E1" s="3451"/>
      <c r="F1" s="3451"/>
      <c r="G1" s="3451"/>
      <c r="H1" s="3451"/>
      <c r="I1" s="3451"/>
    </row>
    <row r="2" spans="1:9" ht="30" customHeight="1" thickTop="1">
      <c r="A2" s="3452" t="s">
        <v>2873</v>
      </c>
      <c r="B2" s="3452" t="s">
        <v>2038</v>
      </c>
      <c r="C2" s="3452" t="s">
        <v>2039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4.25">
      <c r="A3" s="3446"/>
      <c r="B3" s="3446"/>
      <c r="C3" s="3446"/>
      <c r="D3" s="1914" t="s">
        <v>7</v>
      </c>
      <c r="E3" s="1914" t="s">
        <v>2040</v>
      </c>
      <c r="F3" s="1914" t="s">
        <v>7</v>
      </c>
      <c r="G3" s="1914" t="s">
        <v>8</v>
      </c>
      <c r="H3" s="1914" t="s">
        <v>7</v>
      </c>
      <c r="I3" s="1914" t="s">
        <v>8</v>
      </c>
    </row>
    <row r="4" spans="1:9" ht="28.5">
      <c r="A4" s="1984" t="str">
        <f>项目基本情况!S2</f>
        <v>北京市海淀区金夕园甲1号三段-1至3层商业用房房地产房地产</v>
      </c>
      <c r="B4" s="1978">
        <f>项目基本情况!C17</f>
        <v>3441.66</v>
      </c>
      <c r="C4" s="1978">
        <f>项目基本情况!C18</f>
        <v>0</v>
      </c>
      <c r="D4" s="1978">
        <f ca="1">结果表!D118</f>
        <v>14820</v>
      </c>
      <c r="E4" s="1978" t="e">
        <f ca="1">结果表!E118</f>
        <v>#DIV/0!</v>
      </c>
      <c r="F4" s="1978">
        <f ca="1">结果表!F118</f>
        <v>2293</v>
      </c>
      <c r="G4" s="1978" t="e">
        <f ca="1">结果表!G118</f>
        <v>#DIV/0!</v>
      </c>
      <c r="H4" s="1978">
        <f ca="1">结果表!H118</f>
        <v>17113</v>
      </c>
      <c r="I4" s="1978" t="e">
        <f ca="1">结果表!I118</f>
        <v>#DIV/0!</v>
      </c>
    </row>
    <row r="5" spans="1:9" ht="30" customHeight="1">
      <c r="A5" s="3446" t="s">
        <v>9</v>
      </c>
      <c r="B5" s="3446"/>
      <c r="C5" s="3446"/>
      <c r="D5" s="3447" t="str">
        <f ca="1">结果表!D119</f>
        <v>壹亿肆仟捌佰贰拾万元整</v>
      </c>
      <c r="E5" s="3447"/>
      <c r="F5" s="3447" t="str">
        <f ca="1">结果表!F119</f>
        <v>贰仟贰佰玖拾叁万元整</v>
      </c>
      <c r="G5" s="3447"/>
      <c r="H5" s="3447" t="str">
        <f ca="1">结果表!H119</f>
        <v>壹亿柒仟壹佰壹拾叁万元整</v>
      </c>
      <c r="I5" s="3447"/>
    </row>
    <row r="6" spans="1:9" ht="15.75">
      <c r="A6" s="3444" t="str">
        <f>结果表!A120</f>
        <v>估价师知悉的法定优先受偿款</v>
      </c>
      <c r="B6" s="3444"/>
      <c r="C6" s="3444"/>
      <c r="D6" s="3445">
        <f>结果表!D120</f>
        <v>0</v>
      </c>
      <c r="E6" s="3445"/>
      <c r="F6" s="3445"/>
      <c r="G6" s="3445"/>
      <c r="H6" s="3445"/>
      <c r="I6" s="3445"/>
    </row>
    <row r="7" spans="1:9" ht="14.25">
      <c r="A7" s="3446" t="s">
        <v>9</v>
      </c>
      <c r="B7" s="3446"/>
      <c r="C7" s="3446"/>
      <c r="D7" s="3448" t="str">
        <f>结果表!D121</f>
        <v>零元整</v>
      </c>
      <c r="E7" s="3449"/>
      <c r="F7" s="3449"/>
      <c r="G7" s="3449"/>
      <c r="H7" s="3449"/>
      <c r="I7" s="3450"/>
    </row>
    <row r="8" spans="1:9" ht="15.75">
      <c r="A8" s="3444" t="str">
        <f>结果表!A122</f>
        <v>房地产抵押价值</v>
      </c>
      <c r="B8" s="3444"/>
      <c r="C8" s="3444"/>
      <c r="D8" s="3445">
        <f ca="1">结果表!D122</f>
        <v>17113</v>
      </c>
      <c r="E8" s="3445"/>
      <c r="F8" s="3445"/>
      <c r="G8" s="3445"/>
      <c r="H8" s="3445"/>
      <c r="I8" s="3445"/>
    </row>
    <row r="9" spans="1:9" ht="14.25">
      <c r="A9" s="3446" t="s">
        <v>9</v>
      </c>
      <c r="B9" s="3446"/>
      <c r="C9" s="3446"/>
      <c r="D9" s="3447" t="str">
        <f ca="1">结果表!D123</f>
        <v>壹亿柒仟壹佰壹拾叁万元整</v>
      </c>
      <c r="E9" s="3447"/>
      <c r="F9" s="3447"/>
      <c r="G9" s="3447"/>
      <c r="H9" s="3447"/>
      <c r="I9" s="3447"/>
    </row>
    <row r="10" spans="1:9" ht="15.75">
      <c r="A10" s="3444" t="str">
        <f>结果表!A124</f>
        <v/>
      </c>
      <c r="B10" s="3444"/>
      <c r="C10" s="3444"/>
      <c r="D10" s="3445" t="str">
        <f>结果表!D124</f>
        <v>——</v>
      </c>
      <c r="E10" s="3445"/>
      <c r="F10" s="3445"/>
      <c r="G10" s="3445"/>
      <c r="H10" s="3445"/>
      <c r="I10" s="3445"/>
    </row>
    <row r="11" spans="1:9" ht="14.25">
      <c r="A11" s="3446" t="s">
        <v>9</v>
      </c>
      <c r="B11" s="3446"/>
      <c r="C11" s="3446"/>
      <c r="D11" s="3447" t="e">
        <f>结果表!D125</f>
        <v>#VALUE!</v>
      </c>
      <c r="E11" s="3447"/>
      <c r="F11" s="3447"/>
      <c r="G11" s="3447"/>
      <c r="H11" s="3447"/>
      <c r="I11" s="3447"/>
    </row>
    <row r="12" spans="1:9" ht="15.75">
      <c r="A12" s="3444" t="str">
        <f>结果表!A126</f>
        <v/>
      </c>
      <c r="B12" s="3444"/>
      <c r="C12" s="3444"/>
      <c r="D12" s="3445" t="str">
        <f>结果表!D126</f>
        <v>——</v>
      </c>
      <c r="E12" s="3445"/>
      <c r="F12" s="3445"/>
      <c r="G12" s="3445"/>
      <c r="H12" s="3445"/>
      <c r="I12" s="3445"/>
    </row>
    <row r="13" spans="1:9" ht="15" thickBot="1">
      <c r="A13" s="3441" t="s">
        <v>9</v>
      </c>
      <c r="B13" s="3441"/>
      <c r="C13" s="3441"/>
      <c r="D13" s="3442" t="e">
        <f>结果表!D127</f>
        <v>#VALUE!</v>
      </c>
      <c r="E13" s="3442"/>
      <c r="F13" s="3442"/>
      <c r="G13" s="3442"/>
      <c r="H13" s="3442"/>
      <c r="I13" s="3442"/>
    </row>
    <row r="14" spans="1:9" ht="14.25" thickTop="1">
      <c r="A14" s="3443" t="s">
        <v>2041</v>
      </c>
      <c r="B14" s="3443"/>
      <c r="C14" s="3443"/>
      <c r="D14" s="3443"/>
      <c r="E14" s="3443"/>
      <c r="F14" s="3443"/>
      <c r="G14" s="3443"/>
      <c r="H14" s="3443"/>
      <c r="I14" s="3443"/>
    </row>
    <row r="16" spans="1:9" ht="18.75">
      <c r="A16" s="1993" t="s">
        <v>2042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9" workbookViewId="0">
      <selection activeCell="P184" sqref="P184"/>
    </sheetView>
  </sheetViews>
  <sheetFormatPr defaultRowHeight="13.5"/>
  <sheetData>
    <row r="1" spans="1:1">
      <c r="A1" s="3372" t="s">
        <v>3140</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9" t="s">
        <v>2850</v>
      </c>
      <c r="B1" s="3459"/>
      <c r="C1" s="3459"/>
      <c r="D1" s="3459"/>
    </row>
    <row r="2" spans="1:4" ht="18.75">
      <c r="A2" s="3460" t="s">
        <v>2112</v>
      </c>
      <c r="B2" s="3460"/>
      <c r="C2" s="3460"/>
      <c r="D2" s="3460"/>
    </row>
    <row r="3" spans="1:4" ht="18.75">
      <c r="A3" s="2613" t="s">
        <v>2113</v>
      </c>
      <c r="B3" s="2613" t="s">
        <v>2114</v>
      </c>
      <c r="C3" s="2613" t="s">
        <v>2115</v>
      </c>
      <c r="D3" s="2613" t="s">
        <v>2116</v>
      </c>
    </row>
    <row r="4" spans="1:4" ht="56.25" customHeight="1">
      <c r="A4" s="2619" t="str">
        <f>项目基本情况!B4</f>
        <v>刘梅</v>
      </c>
      <c r="B4" s="2614">
        <f ca="1">项目基本情况!C4</f>
        <v>1120140022</v>
      </c>
      <c r="C4" s="2617"/>
      <c r="D4" s="2615" t="s">
        <v>2117</v>
      </c>
    </row>
    <row r="5" spans="1:4" ht="56.25" customHeight="1">
      <c r="A5" s="2619" t="str">
        <f>项目基本情况!D4</f>
        <v>吴薇</v>
      </c>
      <c r="B5" s="2614">
        <f ca="1">项目基本情况!E4</f>
        <v>1419970001</v>
      </c>
      <c r="C5" s="2618"/>
      <c r="D5" s="2615" t="s">
        <v>2117</v>
      </c>
    </row>
    <row r="6" spans="1:4" ht="18.75">
      <c r="A6" s="3460" t="s">
        <v>2614</v>
      </c>
      <c r="B6" s="3460"/>
      <c r="C6" s="3460"/>
      <c r="D6" s="3460"/>
    </row>
    <row r="7" spans="1:4" ht="18.75">
      <c r="A7" s="2613" t="s">
        <v>2113</v>
      </c>
      <c r="B7" s="2614" t="s">
        <v>2118</v>
      </c>
      <c r="C7" s="2613" t="s">
        <v>2115</v>
      </c>
      <c r="D7" s="2613" t="s">
        <v>2116</v>
      </c>
    </row>
    <row r="8" spans="1:4" ht="56.25" customHeight="1">
      <c r="A8" s="2616" t="s">
        <v>2119</v>
      </c>
      <c r="B8" s="2616" t="s">
        <v>23</v>
      </c>
      <c r="C8" s="2617"/>
      <c r="D8" s="2615" t="s">
        <v>2117</v>
      </c>
    </row>
    <row r="9" spans="1:4">
      <c r="A9" s="1497"/>
      <c r="B9" s="1497"/>
      <c r="C9" s="1497"/>
      <c r="D9" s="1497"/>
    </row>
    <row r="10" spans="1:4" ht="18.75">
      <c r="A10" s="2095" t="s">
        <v>2120</v>
      </c>
      <c r="B10" s="1497"/>
      <c r="C10" s="1497"/>
      <c r="D10" s="1497"/>
    </row>
    <row r="11" spans="1:4" ht="30" customHeight="1">
      <c r="A11" s="3461" t="s">
        <v>2705</v>
      </c>
      <c r="B11" s="3453"/>
      <c r="C11" s="3453"/>
      <c r="D11" s="3453"/>
    </row>
    <row r="12" spans="1:4" ht="14.2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3" t="str">
        <f>IF(项目基本情况!B8="抵押","4.本次评估估价师所知悉的法定优先受偿款情况说明如下：","——")</f>
        <v>4.本次评估估价师所知悉的法定优先受偿款情况说明如下：</v>
      </c>
      <c r="B14" s="3458"/>
      <c r="C14" s="3458"/>
      <c r="D14" s="3458"/>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v>
      </c>
      <c r="B15" s="3453"/>
      <c r="C15" s="3453"/>
      <c r="D15" s="3453"/>
    </row>
    <row r="16" spans="1:4" ht="30" customHeight="1">
      <c r="A16" s="3455" t="s">
        <v>2124</v>
      </c>
      <c r="B16" s="3455"/>
      <c r="C16" s="3455"/>
      <c r="D16" s="3455"/>
    </row>
    <row r="17" spans="1:4" ht="144" customHeight="1">
      <c r="A17" s="3455" t="s">
        <v>2125</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3"/>
      <c r="C20" s="3453"/>
      <c r="D20" s="3453"/>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6"/>
      <c r="C21" s="3456"/>
      <c r="D21" s="3456"/>
    </row>
    <row r="22" spans="1:4" ht="18.75" customHeight="1">
      <c r="A22" s="3457" t="s">
        <v>2871</v>
      </c>
      <c r="B22" s="3457"/>
      <c r="C22" s="3457"/>
      <c r="D22" s="3457"/>
    </row>
    <row r="23" spans="1:4">
      <c r="A23" s="1985"/>
      <c r="B23" s="1994"/>
      <c r="C23" s="1994"/>
      <c r="D23" s="1994"/>
    </row>
    <row r="24" spans="1:4">
      <c r="A24" s="1985"/>
      <c r="B24" s="1994"/>
      <c r="C24" s="1994"/>
      <c r="D24" s="1994"/>
    </row>
    <row r="25" spans="1:4" ht="18.75">
      <c r="A25" s="1983" t="s">
        <v>2121</v>
      </c>
    </row>
    <row r="26" spans="1:4" ht="18.75">
      <c r="A26" s="1955"/>
    </row>
    <row r="27" spans="1:4" ht="18.75">
      <c r="A27" s="1955" t="s">
        <v>2122</v>
      </c>
    </row>
    <row r="30" spans="1:4" ht="18.75">
      <c r="D30" s="1983" t="s">
        <v>2123</v>
      </c>
    </row>
    <row r="31" spans="1:4" ht="13.5" customHeight="1">
      <c r="C31" s="3454">
        <v>42551</v>
      </c>
      <c r="D31" s="345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2128</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1136</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467" t="s">
        <v>554</v>
      </c>
      <c r="B15" s="3462" t="s">
        <v>1137</v>
      </c>
      <c r="C15" s="3463"/>
    </row>
    <row r="16" spans="1:7" ht="13.5">
      <c r="A16" s="3468"/>
      <c r="B16" s="3462" t="s">
        <v>527</v>
      </c>
      <c r="C16" s="3463"/>
    </row>
    <row r="17" spans="1:3" ht="13.5">
      <c r="A17" s="3468"/>
      <c r="B17" s="3465" t="s">
        <v>555</v>
      </c>
      <c r="C17" s="1150" t="s">
        <v>554</v>
      </c>
    </row>
    <row r="18" spans="1:3" ht="13.5">
      <c r="A18" s="3468"/>
      <c r="B18" s="3465"/>
      <c r="C18" s="1150" t="s">
        <v>556</v>
      </c>
    </row>
    <row r="19" spans="1:3" ht="13.5">
      <c r="A19" s="3468"/>
      <c r="B19" s="3465"/>
      <c r="C19" s="1150" t="s">
        <v>557</v>
      </c>
    </row>
    <row r="20" spans="1:3" ht="13.5">
      <c r="A20" s="3469"/>
      <c r="B20" s="3464" t="s">
        <v>558</v>
      </c>
      <c r="C20" s="3463"/>
    </row>
    <row r="21" spans="1:3" ht="13.5">
      <c r="A21" s="1151" t="s">
        <v>559</v>
      </c>
      <c r="B21" s="1152"/>
      <c r="C21" s="1153"/>
    </row>
    <row r="22" spans="1:3" ht="13.5">
      <c r="A22" s="3466" t="s">
        <v>560</v>
      </c>
      <c r="B22" s="3464" t="s">
        <v>561</v>
      </c>
      <c r="C22" s="3463"/>
    </row>
    <row r="23" spans="1:3" ht="13.5">
      <c r="A23" s="3466"/>
      <c r="B23" s="3464" t="s">
        <v>562</v>
      </c>
      <c r="C23" s="3463"/>
    </row>
    <row r="24" spans="1:3" ht="13.5">
      <c r="A24" s="3466"/>
      <c r="B24" s="3464" t="s">
        <v>563</v>
      </c>
      <c r="C24" s="3463"/>
    </row>
    <row r="25" spans="1:3" ht="13.5">
      <c r="A25" s="3466"/>
      <c r="B25" s="3465" t="s">
        <v>564</v>
      </c>
      <c r="C25" s="1150" t="s">
        <v>565</v>
      </c>
    </row>
    <row r="26" spans="1:3" ht="13.5">
      <c r="A26" s="3466"/>
      <c r="B26" s="3465"/>
      <c r="C26" s="1150" t="s">
        <v>566</v>
      </c>
    </row>
    <row r="27" spans="1:3" ht="13.5">
      <c r="A27" s="3466"/>
      <c r="B27" s="3465"/>
      <c r="C27" s="1150" t="s">
        <v>567</v>
      </c>
    </row>
    <row r="28" spans="1:3" ht="13.5">
      <c r="A28" s="3466"/>
      <c r="B28" s="3465"/>
      <c r="C28" s="1150" t="s">
        <v>568</v>
      </c>
    </row>
    <row r="29" spans="1:3" ht="13.5">
      <c r="A29" s="3466"/>
      <c r="B29" s="3465"/>
      <c r="C29" s="1150" t="s">
        <v>569</v>
      </c>
    </row>
    <row r="30" spans="1:3" ht="13.5">
      <c r="A30" s="3466"/>
      <c r="B30" s="3465"/>
      <c r="C30" s="1150" t="s">
        <v>570</v>
      </c>
    </row>
    <row r="31" spans="1:3" ht="13.5">
      <c r="A31" s="3466"/>
      <c r="B31" s="3465"/>
      <c r="C31" s="1150" t="s">
        <v>571</v>
      </c>
    </row>
    <row r="32" spans="1:3" ht="13.5">
      <c r="A32" s="3466"/>
      <c r="B32" s="3465"/>
      <c r="C32" s="1150" t="s">
        <v>572</v>
      </c>
    </row>
    <row r="33" spans="1:3" ht="13.5">
      <c r="A33" s="3466"/>
      <c r="B33" s="3465"/>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1971</v>
      </c>
      <c r="B2" s="1892">
        <f ca="1">TODAY()</f>
        <v>43004</v>
      </c>
      <c r="C2" s="1893" t="s">
        <v>1972</v>
      </c>
      <c r="D2" s="1893"/>
    </row>
    <row r="3" spans="1:6" ht="24" customHeight="1">
      <c r="A3" s="1894" t="s">
        <v>1973</v>
      </c>
      <c r="B3" s="1895" t="s">
        <v>1974</v>
      </c>
      <c r="C3" s="1895" t="s">
        <v>1975</v>
      </c>
      <c r="D3" s="1896" t="s">
        <v>1976</v>
      </c>
      <c r="E3" s="1897" t="s">
        <v>1977</v>
      </c>
      <c r="F3" s="1895" t="s">
        <v>1975</v>
      </c>
    </row>
    <row r="4" spans="1:6" ht="24" customHeight="1">
      <c r="A4" s="3206" t="s">
        <v>1978</v>
      </c>
      <c r="B4" s="1897">
        <f ca="1">IF(C4&lt;B2,"已过期",1119970066)</f>
        <v>1119970066</v>
      </c>
      <c r="C4" s="3207">
        <v>43849</v>
      </c>
      <c r="D4" s="3206" t="s">
        <v>1978</v>
      </c>
      <c r="E4" s="1897">
        <f ca="1">IF(F4&lt;B2,"已过期",96010014)</f>
        <v>96010014</v>
      </c>
      <c r="F4" s="1906">
        <v>47118</v>
      </c>
    </row>
    <row r="5" spans="1:6" ht="24" customHeight="1">
      <c r="A5" s="3206" t="s">
        <v>1979</v>
      </c>
      <c r="B5" s="1897">
        <f ca="1">IF(C5&lt;B2,"已过期",1119970074)</f>
        <v>1119970074</v>
      </c>
      <c r="C5" s="3207">
        <v>43849</v>
      </c>
      <c r="D5" s="3206" t="s">
        <v>1979</v>
      </c>
      <c r="E5" s="1897">
        <f ca="1">IF(F5&lt;B2,"已过期",2002110027)</f>
        <v>2002110027</v>
      </c>
      <c r="F5" s="1906">
        <v>46752</v>
      </c>
    </row>
    <row r="6" spans="1:6" ht="24" customHeight="1">
      <c r="A6" s="3206" t="s">
        <v>1980</v>
      </c>
      <c r="B6" s="1897">
        <f ca="1">IF(C6&lt;B2,"已过期",1119970111)</f>
        <v>1119970111</v>
      </c>
      <c r="C6" s="3207">
        <v>43849</v>
      </c>
      <c r="D6" s="3206" t="s">
        <v>1980</v>
      </c>
      <c r="E6" s="1897">
        <f ca="1">IF(F6&lt;B2,"已过期",94010078)</f>
        <v>94010078</v>
      </c>
      <c r="F6" s="1906">
        <v>46387</v>
      </c>
    </row>
    <row r="7" spans="1:6" ht="24" customHeight="1">
      <c r="A7" s="3206" t="s">
        <v>1981</v>
      </c>
      <c r="B7" s="1897">
        <f ca="1">IF(C7&lt;B2,"已过期",1120050019)</f>
        <v>1120050019</v>
      </c>
      <c r="C7" s="3207">
        <v>43359</v>
      </c>
      <c r="D7" s="3206" t="s">
        <v>1981</v>
      </c>
      <c r="E7" s="1897">
        <f ca="1">IF(F7&lt;B2,"已过期",2002110030)</f>
        <v>2002110030</v>
      </c>
      <c r="F7" s="1906">
        <v>46387</v>
      </c>
    </row>
    <row r="8" spans="1:6" ht="24" customHeight="1">
      <c r="A8" s="3206" t="s">
        <v>1982</v>
      </c>
      <c r="B8" s="1897">
        <f ca="1">IF(C8&lt;B2,"已过期",1120000080)</f>
        <v>1120000080</v>
      </c>
      <c r="C8" s="3207">
        <v>43849</v>
      </c>
      <c r="D8" s="3206" t="s">
        <v>1982</v>
      </c>
      <c r="E8" s="1897">
        <f ca="1">IF(F8&lt;B2,"已过期",2000110082)</f>
        <v>2000110082</v>
      </c>
      <c r="F8" s="1906">
        <v>46387</v>
      </c>
    </row>
    <row r="9" spans="1:6" ht="24" customHeight="1">
      <c r="A9" s="3206" t="s">
        <v>1983</v>
      </c>
      <c r="B9" s="1897">
        <f ca="1">IF(C9&lt;B2,"已过期",1419970001)</f>
        <v>1419970001</v>
      </c>
      <c r="C9" s="3207">
        <v>43867</v>
      </c>
      <c r="D9" s="3206" t="s">
        <v>1983</v>
      </c>
      <c r="E9" s="1897">
        <f ca="1">IF(F9&lt;B2,"已过期",2002110125)</f>
        <v>2002110125</v>
      </c>
      <c r="F9" s="1906">
        <v>47118</v>
      </c>
    </row>
    <row r="10" spans="1:6" ht="24" customHeight="1">
      <c r="A10" s="3206" t="s">
        <v>1984</v>
      </c>
      <c r="B10" s="1897">
        <f ca="1">IF(C10&lt;B2,"已过期",1120060040)</f>
        <v>1120060040</v>
      </c>
      <c r="C10" s="3207">
        <v>43483</v>
      </c>
      <c r="D10" s="3206" t="s">
        <v>1984</v>
      </c>
      <c r="E10" s="1897">
        <f ca="1">IF(F10&lt;B2,"已过期",2004110096)</f>
        <v>2004110096</v>
      </c>
      <c r="F10" s="1906">
        <v>47118</v>
      </c>
    </row>
    <row r="11" spans="1:6" ht="24" customHeight="1">
      <c r="A11" s="3206" t="s">
        <v>1985</v>
      </c>
      <c r="B11" s="1897">
        <f ca="1">IF(C11&lt;B2,"已过期",1120100036)</f>
        <v>1120100036</v>
      </c>
      <c r="C11" s="3207">
        <v>43622</v>
      </c>
      <c r="D11" s="3206" t="s">
        <v>1985</v>
      </c>
      <c r="E11" s="1897">
        <f ca="1">IF(F11&lt;B2,"已过期",2010110070)</f>
        <v>2010110070</v>
      </c>
      <c r="F11" s="1906">
        <v>47907</v>
      </c>
    </row>
    <row r="12" spans="1:6" ht="24" customHeight="1">
      <c r="A12" s="3206"/>
      <c r="B12" s="1897"/>
      <c r="C12" s="3207"/>
      <c r="D12" s="3206"/>
      <c r="E12" s="1897"/>
      <c r="F12" s="1897"/>
    </row>
    <row r="13" spans="1:6" ht="24" customHeight="1">
      <c r="A13" s="3206" t="s">
        <v>1986</v>
      </c>
      <c r="B13" s="1897">
        <f ca="1">IF(C13&lt;B2,"已过期",1120070131)</f>
        <v>1120070131</v>
      </c>
      <c r="C13" s="3207">
        <v>43814</v>
      </c>
      <c r="D13" s="3206" t="s">
        <v>1986</v>
      </c>
      <c r="E13" s="1897">
        <v>2014110011</v>
      </c>
      <c r="F13" s="1906">
        <v>49302</v>
      </c>
    </row>
    <row r="14" spans="1:6" ht="24" customHeight="1">
      <c r="A14" s="3206" t="s">
        <v>1987</v>
      </c>
      <c r="B14" s="1897">
        <f ca="1">IF(C14&lt;B2,"已过期",1120130020)</f>
        <v>1120130020</v>
      </c>
      <c r="C14" s="3207">
        <v>43622</v>
      </c>
      <c r="D14" s="3206"/>
      <c r="E14" s="1897"/>
      <c r="F14" s="1897"/>
    </row>
    <row r="15" spans="1:6" ht="24" customHeight="1">
      <c r="A15" s="3208" t="s">
        <v>2703</v>
      </c>
      <c r="B15" s="1897">
        <v>1120070085</v>
      </c>
      <c r="C15" s="3207">
        <v>43814</v>
      </c>
      <c r="D15" s="3208" t="s">
        <v>2703</v>
      </c>
      <c r="E15" s="1897">
        <v>2004110128</v>
      </c>
      <c r="F15" s="1898">
        <v>47118</v>
      </c>
    </row>
    <row r="16" spans="1:6" ht="24" customHeight="1">
      <c r="A16" s="3206" t="s">
        <v>1988</v>
      </c>
      <c r="B16" s="1897">
        <f ca="1">IF(C16&lt;B2,"已过期",1120140022)</f>
        <v>1120140022</v>
      </c>
      <c r="C16" s="3207">
        <v>44029</v>
      </c>
      <c r="D16" s="3206" t="s">
        <v>1988</v>
      </c>
      <c r="E16" s="1897">
        <f ca="1">IF(F16&lt;B2,"已过期",2008110059)</f>
        <v>2008110059</v>
      </c>
      <c r="F16" s="1906">
        <v>47177</v>
      </c>
    </row>
    <row r="17" spans="1:7" ht="24" customHeight="1">
      <c r="A17" s="3206"/>
      <c r="B17" s="1897"/>
      <c r="C17" s="3207"/>
      <c r="D17" s="3206"/>
      <c r="E17" s="1897"/>
      <c r="F17" s="1906"/>
    </row>
    <row r="18" spans="1:7" ht="24" customHeight="1">
      <c r="A18" s="3206"/>
      <c r="B18" s="1897"/>
      <c r="C18" s="3207"/>
      <c r="D18" s="3206"/>
      <c r="E18" s="1897"/>
      <c r="F18" s="1906"/>
    </row>
    <row r="19" spans="1:7" ht="24" customHeight="1">
      <c r="A19" s="3206"/>
      <c r="B19" s="1897"/>
      <c r="C19" s="3207"/>
      <c r="D19" s="3206"/>
      <c r="E19" s="1897"/>
      <c r="F19" s="1897"/>
    </row>
    <row r="20" spans="1:7" ht="24" customHeight="1">
      <c r="A20" s="3206"/>
      <c r="B20" s="1897"/>
      <c r="C20" s="3207"/>
      <c r="D20" s="3206"/>
      <c r="E20" s="1897"/>
      <c r="F20" s="1897"/>
    </row>
    <row r="21" spans="1:7" ht="24" customHeight="1">
      <c r="A21" s="3206"/>
      <c r="B21" s="1897"/>
      <c r="C21" s="3207"/>
      <c r="D21" s="3206" t="s">
        <v>1989</v>
      </c>
      <c r="E21" s="1897">
        <f ca="1">IF(F21&lt;B2,"已过期",2011110090)</f>
        <v>2011110090</v>
      </c>
      <c r="F21" s="1906">
        <v>48302</v>
      </c>
    </row>
    <row r="22" spans="1:7" ht="24" customHeight="1">
      <c r="A22" s="3206" t="s">
        <v>1990</v>
      </c>
      <c r="B22" s="1897">
        <f ca="1">IF(C22&lt;B2,"已过期",1120020033)</f>
        <v>1120020033</v>
      </c>
      <c r="C22" s="3207">
        <v>43304</v>
      </c>
      <c r="D22" s="3206" t="s">
        <v>1990</v>
      </c>
      <c r="E22" s="1897">
        <f ca="1">IF(F22&lt;B2,"已过期",2000110137)</f>
        <v>2000110137</v>
      </c>
      <c r="F22" s="1906">
        <v>46387</v>
      </c>
    </row>
    <row r="23" spans="1:7" ht="24" customHeight="1">
      <c r="A23" s="3206" t="s">
        <v>1991</v>
      </c>
      <c r="B23" s="1897">
        <f ca="1">IF(C23&lt;B2,"已过期",1120130048)</f>
        <v>1120130048</v>
      </c>
      <c r="C23" s="3207">
        <v>43686</v>
      </c>
      <c r="D23" s="3206"/>
      <c r="E23" s="1897"/>
      <c r="F23" s="1897"/>
    </row>
    <row r="24" spans="1:7" s="1899" customFormat="1" ht="24" customHeight="1">
      <c r="A24" s="3208" t="s">
        <v>2937</v>
      </c>
      <c r="B24" s="3208" t="s">
        <v>2937</v>
      </c>
      <c r="C24" s="3208" t="s">
        <v>2937</v>
      </c>
      <c r="D24" s="3208" t="s">
        <v>2937</v>
      </c>
      <c r="E24" s="3208" t="s">
        <v>2937</v>
      </c>
      <c r="F24" s="3208" t="s">
        <v>2937</v>
      </c>
    </row>
    <row r="25" spans="1:7" ht="24" customHeight="1">
      <c r="A25" s="3470" t="s">
        <v>1992</v>
      </c>
      <c r="B25" s="3470"/>
      <c r="C25" s="3470"/>
      <c r="D25" s="3470"/>
      <c r="E25" s="3470"/>
      <c r="F25" s="3470"/>
      <c r="G25" s="3470"/>
    </row>
    <row r="26" spans="1:7" s="1901" customFormat="1" ht="24" customHeight="1">
      <c r="A26" s="3471" t="s">
        <v>1993</v>
      </c>
      <c r="B26" s="3471"/>
      <c r="C26" s="3471"/>
      <c r="D26" s="1900"/>
      <c r="E26" s="3471" t="s">
        <v>1994</v>
      </c>
      <c r="F26" s="3471"/>
      <c r="G26" s="3471"/>
    </row>
    <row r="27" spans="1:7" s="1903" customFormat="1" ht="24" customHeight="1">
      <c r="A27" s="1902" t="s">
        <v>1995</v>
      </c>
      <c r="B27" s="1895" t="s">
        <v>1996</v>
      </c>
      <c r="C27" s="1895" t="s">
        <v>1997</v>
      </c>
      <c r="D27" s="1895"/>
      <c r="E27" s="1897" t="s">
        <v>1995</v>
      </c>
      <c r="F27" s="1895" t="s">
        <v>1996</v>
      </c>
      <c r="G27" s="1895" t="s">
        <v>1997</v>
      </c>
    </row>
    <row r="28" spans="1:7" s="1903" customFormat="1" ht="24" customHeight="1">
      <c r="A28" s="1904" t="s">
        <v>1998</v>
      </c>
      <c r="B28" s="1905" t="s">
        <v>1999</v>
      </c>
      <c r="C28" s="1906">
        <v>43725</v>
      </c>
      <c r="D28" s="1906"/>
      <c r="E28" s="1904" t="s">
        <v>2000</v>
      </c>
      <c r="F28" s="1904" t="s">
        <v>2001</v>
      </c>
      <c r="G28" s="2114">
        <v>44377</v>
      </c>
    </row>
    <row r="29" spans="1:7" s="1903" customFormat="1" ht="24" customHeight="1">
      <c r="A29" s="1904"/>
      <c r="B29" s="1904"/>
      <c r="C29" s="1907"/>
      <c r="D29" s="1907"/>
      <c r="E29" s="1904" t="s">
        <v>2002</v>
      </c>
      <c r="F29" s="2440" t="s">
        <v>3049</v>
      </c>
      <c r="G29" s="2441">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12" priority="55">
      <formula>AND($C28-TODAY()&lt;30,TODAY()&lt;$C28)</formula>
    </cfRule>
  </conditionalFormatting>
  <conditionalFormatting sqref="C28:D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G28">
    <cfRule type="expression" dxfId="176" priority="12">
      <formula>AND($F28-TODAY()&lt;30,TODAY()&lt;$F28)</formula>
    </cfRule>
  </conditionalFormatting>
  <conditionalFormatting sqref="G28">
    <cfRule type="cellIs" dxfId="175" priority="13" stopIfTrue="1" operator="lessThan">
      <formula>$B$2</formula>
    </cfRule>
  </conditionalFormatting>
  <conditionalFormatting sqref="G29">
    <cfRule type="expression" dxfId="174" priority="8" stopIfTrue="1">
      <formula>AND($F29-TODAY()&lt;30,TODAY()&lt;$F29)</formula>
    </cfRule>
  </conditionalFormatting>
  <conditionalFormatting sqref="G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收益法（汇总）</vt:lpstr>
      <vt:lpstr>收益法已出租</vt:lpstr>
      <vt:lpstr>收益法未出租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楼层修正</vt:lpstr>
      <vt:lpstr>租金比较法-商业</vt:lpstr>
      <vt:lpstr>租金</vt:lpstr>
      <vt:lpstr>年期修正系数</vt:lpstr>
      <vt:lpstr>案例</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2017-09-22T05:41:03Z</cp:lastPrinted>
  <dcterms:created xsi:type="dcterms:W3CDTF">2015-07-13T07:17:23Z</dcterms:created>
  <dcterms:modified xsi:type="dcterms:W3CDTF">2017-09-26T07:11:21Z</dcterms:modified>
</cp:coreProperties>
</file>