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225" windowWidth="11565" windowHeight="9555" tabRatio="875" firstSheet="12"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2" sheetId="69" r:id="rId19"/>
    <sheet name="Sheet3"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Sheet1" sheetId="68"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4" l="1"/>
  <c r="C40" i="39" l="1"/>
  <c r="O3" i="69" l="1"/>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34" i="69"/>
  <c r="O35" i="69"/>
  <c r="O36" i="69"/>
  <c r="O37" i="69"/>
  <c r="O38" i="69"/>
  <c r="O39" i="69"/>
  <c r="O40" i="69"/>
  <c r="O41" i="69"/>
  <c r="O42" i="69"/>
  <c r="O43" i="69"/>
  <c r="O44" i="69"/>
  <c r="O45" i="69"/>
  <c r="O46" i="69"/>
  <c r="O47" i="69"/>
  <c r="O48" i="69"/>
  <c r="O49" i="69"/>
  <c r="O50" i="69"/>
  <c r="O51" i="69"/>
  <c r="O2" i="69"/>
  <c r="C7" i="68" l="1"/>
  <c r="I13" i="3" s="1"/>
  <c r="F19" i="6" s="1"/>
  <c r="C6" i="68"/>
  <c r="K14" i="3"/>
  <c r="F20" i="6" s="1"/>
  <c r="AB5" i="59" l="1"/>
  <c r="AA5" i="59"/>
  <c r="Y5" i="59"/>
  <c r="X5" i="59"/>
  <c r="AH5" i="59" l="1"/>
  <c r="AG5" i="59"/>
  <c r="AE5" i="59"/>
  <c r="AF5" i="59" s="1"/>
  <c r="AD5" i="59"/>
  <c r="Q5" i="59"/>
  <c r="P5" i="59"/>
  <c r="O5" i="59"/>
  <c r="N5" i="59"/>
  <c r="F25" i="12" l="1"/>
  <c r="AH6" i="59" l="1"/>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75" i="15" s="1"/>
  <c r="Q74" i="44"/>
  <c r="Q61" i="44"/>
  <c r="Q60" i="44"/>
  <c r="Q53" i="44"/>
  <c r="J51" i="44"/>
  <c r="J52" i="44"/>
  <c r="M48" i="44"/>
  <c r="A16" i="55"/>
  <c r="A15" i="55"/>
  <c r="B66" i="63" s="1"/>
  <c r="A14" i="55"/>
  <c r="A10" i="55"/>
  <c r="B61" i="63" s="1"/>
  <c r="A9" i="55"/>
  <c r="B60" i="63" s="1"/>
  <c r="A8" i="55"/>
  <c r="A6" i="54"/>
  <c r="B49" i="63" s="1"/>
  <c r="A8" i="54"/>
  <c r="A7" i="54"/>
  <c r="A28" i="51"/>
  <c r="A27" i="51"/>
  <c r="B20" i="63" s="1"/>
  <c r="Q13" i="59"/>
  <c r="AB11" i="59"/>
  <c r="O13" i="59"/>
  <c r="Y11" i="59"/>
  <c r="Z11" i="59" s="1"/>
  <c r="N14" i="59"/>
  <c r="O14" i="59"/>
  <c r="P14" i="59"/>
  <c r="Q14" i="59"/>
  <c r="N13" i="59"/>
  <c r="X11" i="59"/>
  <c r="P13" i="59"/>
  <c r="B15" i="59"/>
  <c r="C15" i="59"/>
  <c r="D15" i="59"/>
  <c r="E15" i="59"/>
  <c r="F15" i="59"/>
  <c r="K75" i="9"/>
  <c r="K6" i="4"/>
  <c r="L76" i="9" s="1"/>
  <c r="O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c r="E5" i="54"/>
  <c r="B32" i="63"/>
  <c r="R2" i="54"/>
  <c r="B24" i="63"/>
  <c r="B49" i="50"/>
  <c r="B5" i="63"/>
  <c r="B40" i="50"/>
  <c r="B3" i="63" s="1"/>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E5" i="6" s="1"/>
  <c r="D21" i="12" s="1"/>
  <c r="C21" i="12" s="1"/>
  <c r="BR13" i="3"/>
  <c r="B24" i="1"/>
  <c r="E77" i="9"/>
  <c r="O75" i="9"/>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s="1"/>
  <c r="Q47" i="39"/>
  <c r="Z47" i="39"/>
  <c r="Q40" i="39"/>
  <c r="Z40" i="39"/>
  <c r="Q38" i="39"/>
  <c r="Z38" i="39" s="1"/>
  <c r="Q39" i="39"/>
  <c r="Z39" i="39"/>
  <c r="Z43" i="39"/>
  <c r="M118" i="39"/>
  <c r="L118" i="39"/>
  <c r="K118" i="39"/>
  <c r="J118" i="39"/>
  <c r="I118" i="39"/>
  <c r="H118" i="39"/>
  <c r="G118" i="39"/>
  <c r="F118" i="39"/>
  <c r="E118" i="39"/>
  <c r="D118" i="39"/>
  <c r="C118" i="39"/>
  <c r="B133" i="39"/>
  <c r="B131" i="39"/>
  <c r="F46" i="39" s="1"/>
  <c r="B129" i="39"/>
  <c r="H45" i="39" s="1"/>
  <c r="D128" i="39"/>
  <c r="D124" i="39"/>
  <c r="E124" i="39"/>
  <c r="F124" i="39" s="1"/>
  <c r="G124" i="39" s="1"/>
  <c r="H124" i="39" s="1"/>
  <c r="I124" i="39" s="1"/>
  <c r="J124" i="39" s="1"/>
  <c r="K124" i="39" s="1"/>
  <c r="L124" i="39" s="1"/>
  <c r="M124" i="39" s="1"/>
  <c r="B106" i="39"/>
  <c r="J33"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B86" i="39"/>
  <c r="H15" i="39" s="1"/>
  <c r="B84" i="39"/>
  <c r="F14" i="39" s="1"/>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s="1"/>
  <c r="Q19" i="39"/>
  <c r="Z19" i="39"/>
  <c r="Q17" i="39"/>
  <c r="Z17" i="39"/>
  <c r="Q16" i="39"/>
  <c r="Z16" i="39"/>
  <c r="Q15" i="39"/>
  <c r="Z15" i="39" s="1"/>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I101" i="21"/>
  <c r="J101" i="21"/>
  <c r="K101" i="21"/>
  <c r="L101" i="21"/>
  <c r="M101" i="2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c r="F85" i="21" s="1"/>
  <c r="G85" i="21" s="1"/>
  <c r="D81" i="21"/>
  <c r="E81" i="21" s="1"/>
  <c r="F81" i="21" s="1"/>
  <c r="G81" i="21" s="1"/>
  <c r="D77" i="21"/>
  <c r="E77" i="21" s="1"/>
  <c r="B130" i="21"/>
  <c r="J46" i="21" s="1"/>
  <c r="B128" i="21"/>
  <c r="B126" i="21"/>
  <c r="B98" i="21"/>
  <c r="B96" i="21"/>
  <c r="J30" i="21" s="1"/>
  <c r="B94" i="21"/>
  <c r="J29" i="21" s="1"/>
  <c r="B92" i="21"/>
  <c r="B90" i="21"/>
  <c r="B74" i="21"/>
  <c r="H14" i="21" s="1"/>
  <c r="B72" i="21"/>
  <c r="H13" i="21" s="1"/>
  <c r="B70" i="21"/>
  <c r="F12"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W43" i="21" s="1"/>
  <c r="Q43" i="21"/>
  <c r="Z43" i="21"/>
  <c r="Q44" i="21"/>
  <c r="Z44" i="21"/>
  <c r="Q45" i="21"/>
  <c r="Z45" i="21" s="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I13" i="3"/>
  <c r="BI5" i="3" s="1"/>
  <c r="BJ13" i="3"/>
  <c r="BK13" i="3"/>
  <c r="BM13" i="3"/>
  <c r="BN13" i="3"/>
  <c r="BO13" i="3"/>
  <c r="BP13" i="3"/>
  <c r="BL13" i="3"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AA38" i="21" s="1"/>
  <c r="F36" i="21"/>
  <c r="S36" i="21" s="1"/>
  <c r="F39" i="21"/>
  <c r="AA39" i="21" s="1"/>
  <c r="J40" i="21"/>
  <c r="AC40" i="21" s="1"/>
  <c r="H35" i="21"/>
  <c r="AB35" i="21" s="1"/>
  <c r="J8" i="21"/>
  <c r="AC8" i="21" s="1"/>
  <c r="J9" i="21"/>
  <c r="AC9" i="21" s="1"/>
  <c r="H8" i="21"/>
  <c r="U8" i="21" s="1"/>
  <c r="H9" i="21"/>
  <c r="AB9" i="21" s="1"/>
  <c r="H39" i="21"/>
  <c r="AB39" i="21" s="1"/>
  <c r="J34" i="21"/>
  <c r="W34" i="21" s="1"/>
  <c r="H36" i="21"/>
  <c r="U36" i="21" s="1"/>
  <c r="F35" i="21"/>
  <c r="S35" i="21" s="1"/>
  <c r="J33" i="21"/>
  <c r="W33" i="21" s="1"/>
  <c r="H33" i="21"/>
  <c r="U33" i="21" s="1"/>
  <c r="F33" i="21"/>
  <c r="H26" i="21"/>
  <c r="AB26" i="21" s="1"/>
  <c r="F19" i="21"/>
  <c r="AA19" i="21" s="1"/>
  <c r="H19" i="21"/>
  <c r="U19" i="21" s="1"/>
  <c r="J19" i="21"/>
  <c r="W19" i="21" s="1"/>
  <c r="J12" i="21"/>
  <c r="AC12" i="21" s="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AC14" i="21" s="1"/>
  <c r="F14" i="21"/>
  <c r="AA14" i="21" s="1"/>
  <c r="H28" i="21"/>
  <c r="AB28" i="21"/>
  <c r="F28" i="21"/>
  <c r="AA28" i="21" s="1"/>
  <c r="J28" i="21"/>
  <c r="AC28" i="21" s="1"/>
  <c r="F30" i="21"/>
  <c r="S30" i="21" s="1"/>
  <c r="J44" i="21"/>
  <c r="AC44" i="21"/>
  <c r="H44" i="21"/>
  <c r="U44" i="21" s="1"/>
  <c r="F44" i="21"/>
  <c r="AA44" i="21"/>
  <c r="H46" i="21"/>
  <c r="AB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s="1"/>
  <c r="H27" i="21"/>
  <c r="AB27" i="21" s="1"/>
  <c r="J27" i="21"/>
  <c r="W27" i="21"/>
  <c r="F27" i="21"/>
  <c r="AA27" i="21" s="1"/>
  <c r="H29" i="21"/>
  <c r="U29" i="21" s="1"/>
  <c r="J31" i="21"/>
  <c r="AC31" i="21" s="1"/>
  <c r="H31" i="21"/>
  <c r="U31" i="21"/>
  <c r="F31" i="21"/>
  <c r="S31" i="21" s="1"/>
  <c r="J45" i="21"/>
  <c r="W45" i="21" s="1"/>
  <c r="F45" i="21"/>
  <c r="AA45" i="2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28" i="21"/>
  <c r="W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A33" i="21"/>
  <c r="S33" i="21"/>
  <c r="J32" i="21"/>
  <c r="AC32" i="21" s="1"/>
  <c r="AC5" i="3"/>
  <c r="F17" i="21"/>
  <c r="AA17" i="21" s="1"/>
  <c r="H17" i="21"/>
  <c r="AB17" i="21" s="1"/>
  <c r="J17" i="21"/>
  <c r="AC17" i="21" s="1"/>
  <c r="H37" i="21"/>
  <c r="U37" i="21" s="1"/>
  <c r="F40" i="21"/>
  <c r="S40" i="21" s="1"/>
  <c r="H40" i="21"/>
  <c r="AB40" i="21" s="1"/>
  <c r="E119" i="21"/>
  <c r="F119" i="2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H33" i="39"/>
  <c r="AB33" i="39" s="1"/>
  <c r="U33" i="39"/>
  <c r="F44" i="39"/>
  <c r="AA44" i="39" s="1"/>
  <c r="H44" i="39"/>
  <c r="U44" i="39" s="1"/>
  <c r="J44" i="39"/>
  <c r="W44" i="39" s="1"/>
  <c r="E128" i="39"/>
  <c r="F128" i="39"/>
  <c r="G128" i="39" s="1"/>
  <c r="H128" i="39" s="1"/>
  <c r="I128" i="39" s="1"/>
  <c r="J128" i="39" s="1"/>
  <c r="K128" i="39" s="1"/>
  <c r="L128" i="39" s="1"/>
  <c r="M128" i="39" s="1"/>
  <c r="H46" i="39"/>
  <c r="U46" i="39" s="1"/>
  <c r="E103" i="39"/>
  <c r="F103" i="39" s="1"/>
  <c r="G103" i="39" s="1"/>
  <c r="F34" i="39"/>
  <c r="AA34" i="39" s="1"/>
  <c r="H34" i="39"/>
  <c r="U34" i="39" s="1"/>
  <c r="AB34" i="39"/>
  <c r="J34" i="39"/>
  <c r="AC34" i="39" s="1"/>
  <c r="F39" i="39"/>
  <c r="S39" i="39" s="1"/>
  <c r="H39" i="39"/>
  <c r="AB39" i="39" s="1"/>
  <c r="J29" i="35"/>
  <c r="AC29" i="35"/>
  <c r="F29" i="35"/>
  <c r="S29" i="35"/>
  <c r="W30" i="36"/>
  <c r="AC30" i="36"/>
  <c r="F37" i="39"/>
  <c r="S37" i="39" s="1"/>
  <c r="H37" i="39"/>
  <c r="AB37" i="39" s="1"/>
  <c r="U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B33"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s="1"/>
  <c r="F16" i="39"/>
  <c r="AA16" i="39" s="1"/>
  <c r="H16" i="39"/>
  <c r="U16" i="39"/>
  <c r="J16" i="39"/>
  <c r="AC16" i="39" s="1"/>
  <c r="F27" i="39"/>
  <c r="AA27" i="39" s="1"/>
  <c r="F15" i="40"/>
  <c r="AA15" i="40"/>
  <c r="J15" i="40"/>
  <c r="H15" i="40"/>
  <c r="AB15" i="40"/>
  <c r="E92" i="40"/>
  <c r="F92" i="40"/>
  <c r="H23" i="40"/>
  <c r="U23" i="40"/>
  <c r="H41" i="40"/>
  <c r="AB41" i="40"/>
  <c r="F41" i="40"/>
  <c r="AA41" i="40"/>
  <c r="J41" i="40"/>
  <c r="H36" i="33"/>
  <c r="AB36" i="33"/>
  <c r="H37" i="34"/>
  <c r="F15" i="39"/>
  <c r="AA15" i="39" s="1"/>
  <c r="J15" i="39"/>
  <c r="AC15" i="39" s="1"/>
  <c r="H25" i="39"/>
  <c r="AB25" i="39" s="1"/>
  <c r="J25" i="39"/>
  <c r="AC25" i="39" s="1"/>
  <c r="F25" i="39"/>
  <c r="AA25" i="39" s="1"/>
  <c r="F45" i="39"/>
  <c r="AA45" i="39" s="1"/>
  <c r="J45" i="39"/>
  <c r="AC45" i="39" s="1"/>
  <c r="F47" i="39"/>
  <c r="AA47" i="39"/>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J23" i="39"/>
  <c r="AC23" i="39" s="1"/>
  <c r="S15" i="34"/>
  <c r="AA15" i="34"/>
  <c r="AA41" i="33"/>
  <c r="AA34" i="33"/>
  <c r="F106" i="33"/>
  <c r="G106" i="33"/>
  <c r="H106" i="33"/>
  <c r="I106" i="33"/>
  <c r="J106" i="33"/>
  <c r="K106" i="33"/>
  <c r="L106" i="33"/>
  <c r="M106" i="33"/>
  <c r="J34" i="33"/>
  <c r="AC34" i="33"/>
  <c r="U30" i="40"/>
  <c r="AA37" i="39"/>
  <c r="W29" i="35"/>
  <c r="AA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c r="K11" i="1"/>
  <c r="M11" i="1" s="1"/>
  <c r="B9" i="1"/>
  <c r="E9" i="1"/>
  <c r="K9" i="1"/>
  <c r="M9" i="1" s="1"/>
  <c r="B7" i="1"/>
  <c r="E7" i="1" s="1"/>
  <c r="K7" i="1"/>
  <c r="M7" i="1" s="1"/>
  <c r="C20" i="43"/>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A37" i="21"/>
  <c r="AB37" i="21"/>
  <c r="W28" i="21"/>
  <c r="AC26" i="21"/>
  <c r="F23" i="21"/>
  <c r="S23" i="21" s="1"/>
  <c r="AC11" i="21"/>
  <c r="AB11" i="21"/>
  <c r="AA11" i="21"/>
  <c r="AC21" i="21"/>
  <c r="W21" i="21"/>
  <c r="W44" i="21"/>
  <c r="AB21"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C38" i="39"/>
  <c r="U11" i="39"/>
  <c r="AB38" i="39"/>
  <c r="U31" i="39"/>
  <c r="AB31" i="39"/>
  <c r="S38" i="39"/>
  <c r="S22" i="31"/>
  <c r="M20" i="15"/>
  <c r="A18" i="64"/>
  <c r="B74" i="63"/>
  <c r="C53" i="10"/>
  <c r="A25" i="64" s="1"/>
  <c r="A18" i="51"/>
  <c r="B14" i="63"/>
  <c r="BA16" i="3"/>
  <c r="BA17" i="3"/>
  <c r="AZ17" i="3"/>
  <c r="F3" i="35"/>
  <c r="K1" i="43"/>
  <c r="K1" i="12"/>
  <c r="G1" i="44"/>
  <c r="AZ15" i="3"/>
  <c r="BK5" i="3"/>
  <c r="BO5" i="3"/>
  <c r="BP5" i="3"/>
  <c r="BN5" i="3"/>
  <c r="BL18" i="3"/>
  <c r="AZ18" i="3"/>
  <c r="BC5" i="3"/>
  <c r="BD5" i="3"/>
  <c r="BR5" i="3"/>
  <c r="G28" i="6" s="1"/>
  <c r="BS5" i="3"/>
  <c r="BQ5" i="3"/>
  <c r="BL16" i="3"/>
  <c r="BM5"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I100" i="46"/>
  <c r="C24" i="46"/>
  <c r="N100" i="46"/>
  <c r="H100" i="46"/>
  <c r="F108" i="46"/>
  <c r="H80" i="46"/>
  <c r="B45" i="46"/>
  <c r="E100" i="46"/>
  <c r="G100" i="46"/>
  <c r="H84" i="46"/>
  <c r="C100" i="46"/>
  <c r="J100" i="46"/>
  <c r="M100" i="46"/>
  <c r="AA12" i="36"/>
  <c r="U12" i="35"/>
  <c r="AB12" i="35"/>
  <c r="W11" i="35"/>
  <c r="AA11" i="35"/>
  <c r="S14" i="37"/>
  <c r="U13" i="37"/>
  <c r="C24" i="9"/>
  <c r="C25" i="9"/>
  <c r="G8" i="1"/>
  <c r="I20" i="46"/>
  <c r="L5" i="54"/>
  <c r="B39" i="63"/>
  <c r="K5" i="54"/>
  <c r="B38" i="63"/>
  <c r="T41" i="4"/>
  <c r="A17" i="64"/>
  <c r="B46" i="50"/>
  <c r="B4" i="63" s="1"/>
  <c r="H86" i="46"/>
  <c r="H82" i="46"/>
  <c r="H10" i="48"/>
  <c r="H87" i="46"/>
  <c r="H85" i="46"/>
  <c r="H83" i="46"/>
  <c r="K10" i="1"/>
  <c r="M10" i="1" s="1"/>
  <c r="O10" i="1" s="1"/>
  <c r="P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A25" i="21"/>
  <c r="AC37" i="21"/>
  <c r="AC27" i="21"/>
  <c r="G96" i="40"/>
  <c r="J27" i="40"/>
  <c r="W37" i="40"/>
  <c r="S17" i="40"/>
  <c r="W30" i="40"/>
  <c r="S34" i="40"/>
  <c r="U17" i="40"/>
  <c r="U38" i="40"/>
  <c r="S40" i="40"/>
  <c r="S42" i="40"/>
  <c r="J31" i="39"/>
  <c r="AC31" i="39" s="1"/>
  <c r="S34" i="39"/>
  <c r="W42" i="39"/>
  <c r="W36" i="39"/>
  <c r="AC37" i="39"/>
  <c r="W1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E29" i="6" s="1"/>
  <c r="K15" i="1" s="1"/>
  <c r="AZ16" i="3"/>
  <c r="A9" i="64"/>
  <c r="A9" i="51"/>
  <c r="B9" i="63" s="1"/>
  <c r="A3" i="55"/>
  <c r="B56" i="63"/>
  <c r="G66" i="36"/>
  <c r="J18" i="36"/>
  <c r="AE8" i="1"/>
  <c r="AE6" i="1"/>
  <c r="W18" i="36"/>
  <c r="AC18" i="36"/>
  <c r="AG6" i="1"/>
  <c r="L20" i="6"/>
  <c r="S8" i="1"/>
  <c r="S9" i="1"/>
  <c r="R9" i="1"/>
  <c r="R8" i="1"/>
  <c r="C45" i="9"/>
  <c r="H14" i="66"/>
  <c r="B7" i="66" s="1"/>
  <c r="O40" i="9"/>
  <c r="K31" i="9"/>
  <c r="K32" i="9"/>
  <c r="R7" i="54"/>
  <c r="B52" i="63" s="1"/>
  <c r="N76" i="9"/>
  <c r="C46" i="9"/>
  <c r="K33" i="9" s="1"/>
  <c r="N6" i="65"/>
  <c r="F7" i="15"/>
  <c r="E10" i="67"/>
  <c r="L49" i="44"/>
  <c r="E13" i="67"/>
  <c r="F37" i="44"/>
  <c r="E14" i="67"/>
  <c r="B13" i="67"/>
  <c r="L48" i="15"/>
  <c r="M23" i="15"/>
  <c r="M23" i="44"/>
  <c r="F40" i="15"/>
  <c r="F9" i="44"/>
  <c r="B14" i="67"/>
  <c r="M24" i="44"/>
  <c r="M9" i="15"/>
  <c r="M25" i="44"/>
  <c r="M28" i="15"/>
  <c r="E8" i="67"/>
  <c r="M26" i="44"/>
  <c r="F43" i="15"/>
  <c r="F40" i="44"/>
  <c r="F8" i="67"/>
  <c r="F39" i="44"/>
  <c r="F11" i="44"/>
  <c r="F26" i="15"/>
  <c r="M29" i="44"/>
  <c r="F9" i="67"/>
  <c r="B8" i="67"/>
  <c r="N3" i="65"/>
  <c r="L47" i="15"/>
  <c r="F8" i="15"/>
  <c r="L48" i="44"/>
  <c r="J15" i="15"/>
  <c r="F46" i="44"/>
  <c r="B11" i="67"/>
  <c r="M8" i="44"/>
  <c r="F16" i="15"/>
  <c r="M8" i="15"/>
  <c r="F11" i="67"/>
  <c r="F8" i="44"/>
  <c r="F9" i="15"/>
  <c r="F15" i="44"/>
  <c r="M29" i="15"/>
  <c r="M31" i="44"/>
  <c r="C19" i="44"/>
  <c r="F42" i="15"/>
  <c r="B10" i="67"/>
  <c r="F43" i="44"/>
  <c r="M30" i="44"/>
  <c r="F37" i="15"/>
  <c r="N4" i="65"/>
  <c r="F13" i="15"/>
  <c r="F18" i="44"/>
  <c r="F6" i="15"/>
  <c r="J36" i="15"/>
  <c r="M6" i="15"/>
  <c r="M26" i="15"/>
  <c r="B9" i="67"/>
  <c r="M28" i="44"/>
  <c r="J17" i="44"/>
  <c r="M22" i="15"/>
  <c r="F14" i="67"/>
  <c r="F38" i="44"/>
  <c r="F12" i="67"/>
  <c r="F10" i="44"/>
  <c r="F10" i="67"/>
  <c r="F38" i="15"/>
  <c r="M10" i="44"/>
  <c r="F28" i="44"/>
  <c r="E12" i="67"/>
  <c r="F13" i="67"/>
  <c r="E9" i="67"/>
  <c r="M27" i="15"/>
  <c r="N7" i="65"/>
  <c r="F36" i="15"/>
  <c r="F45" i="44"/>
  <c r="E11" i="67"/>
  <c r="M11" i="44"/>
  <c r="B12" i="67"/>
  <c r="M24" i="15"/>
  <c r="N5" i="65"/>
  <c r="C51" i="10" l="1"/>
  <c r="A4" i="51"/>
  <c r="B6" i="63" s="1"/>
  <c r="A4" i="64"/>
  <c r="A2" i="55"/>
  <c r="B55" i="63" s="1"/>
  <c r="B41" i="1"/>
  <c r="D96" i="9"/>
  <c r="U13" i="39"/>
  <c r="J27" i="39"/>
  <c r="AC27" i="39" s="1"/>
  <c r="H27" i="39"/>
  <c r="AB27" i="39" s="1"/>
  <c r="H23" i="39"/>
  <c r="U23" i="39" s="1"/>
  <c r="F23" i="39"/>
  <c r="AA23" i="39" s="1"/>
  <c r="H29" i="39"/>
  <c r="AB29" i="39" s="1"/>
  <c r="J19" i="39"/>
  <c r="W19" i="39" s="1"/>
  <c r="F29" i="39"/>
  <c r="S29" i="39" s="1"/>
  <c r="J29" i="39"/>
  <c r="AC29" i="39" s="1"/>
  <c r="K76" i="9"/>
  <c r="K77" i="9" s="1"/>
  <c r="K79" i="9" s="1"/>
  <c r="K81" i="9" s="1"/>
  <c r="H23" i="21"/>
  <c r="AB23" i="21" s="1"/>
  <c r="J23" i="21"/>
  <c r="W23" i="21" s="1"/>
  <c r="H19" i="39"/>
  <c r="AB19" i="39" s="1"/>
  <c r="F19" i="39"/>
  <c r="S19" i="39" s="1"/>
  <c r="AB43" i="39"/>
  <c r="AA43" i="39"/>
  <c r="W31" i="39"/>
  <c r="S31" i="39"/>
  <c r="W25" i="39"/>
  <c r="S25" i="39"/>
  <c r="U25" i="39"/>
  <c r="S27" i="39"/>
  <c r="AA21" i="39"/>
  <c r="AC21" i="39"/>
  <c r="W33" i="39"/>
  <c r="AC33" i="39"/>
  <c r="F33" i="39"/>
  <c r="AB21" i="39"/>
  <c r="W23" i="39"/>
  <c r="AC17" i="39"/>
  <c r="S17" i="39"/>
  <c r="AB17" i="39"/>
  <c r="F13" i="39"/>
  <c r="F83" i="39"/>
  <c r="G83" i="39" s="1"/>
  <c r="H83" i="39" s="1"/>
  <c r="I83" i="39" s="1"/>
  <c r="J83" i="39" s="1"/>
  <c r="K83" i="39" s="1"/>
  <c r="L83" i="39" s="1"/>
  <c r="M83" i="39" s="1"/>
  <c r="U15" i="39"/>
  <c r="AB15" i="39"/>
  <c r="AA14" i="39"/>
  <c r="S14" i="39"/>
  <c r="U14" i="39"/>
  <c r="S16" i="39"/>
  <c r="J14" i="39"/>
  <c r="S15" i="39"/>
  <c r="W15" i="39"/>
  <c r="AC39" i="39"/>
  <c r="W39" i="39"/>
  <c r="U39" i="39"/>
  <c r="AB45" i="39"/>
  <c r="U45" i="39"/>
  <c r="S46" i="39"/>
  <c r="AA46" i="39"/>
  <c r="S45" i="39"/>
  <c r="J46" i="39"/>
  <c r="W45" i="39"/>
  <c r="U47" i="39"/>
  <c r="AC44" i="39"/>
  <c r="AB44" i="39"/>
  <c r="S44" i="39"/>
  <c r="W43" i="39"/>
  <c r="W41" i="39"/>
  <c r="U41" i="39"/>
  <c r="S41" i="39"/>
  <c r="I4" i="6"/>
  <c r="G3" i="46" s="1"/>
  <c r="M43" i="9"/>
  <c r="D18" i="9"/>
  <c r="M44" i="9" s="1"/>
  <c r="W32" i="21"/>
  <c r="AA43" i="21"/>
  <c r="AC43" i="21"/>
  <c r="AC35" i="21"/>
  <c r="U35" i="21"/>
  <c r="U43" i="21"/>
  <c r="W42" i="21"/>
  <c r="AA40" i="21"/>
  <c r="W40" i="21"/>
  <c r="S39" i="21"/>
  <c r="U39" i="21"/>
  <c r="U38" i="21"/>
  <c r="S38" i="21"/>
  <c r="AC34" i="21"/>
  <c r="S34" i="21"/>
  <c r="AB32" i="21"/>
  <c r="S32" i="21"/>
  <c r="U42" i="21"/>
  <c r="AA42" i="21"/>
  <c r="W39" i="21"/>
  <c r="AC38" i="21"/>
  <c r="W36" i="21"/>
  <c r="AB36" i="21"/>
  <c r="AA36" i="21"/>
  <c r="AA35" i="21"/>
  <c r="AB34" i="21"/>
  <c r="AC46" i="21"/>
  <c r="W46" i="21"/>
  <c r="U46" i="21"/>
  <c r="AB45" i="21"/>
  <c r="AB44" i="21"/>
  <c r="S46" i="21"/>
  <c r="AC23" i="21"/>
  <c r="AA23" i="21"/>
  <c r="AC30" i="21"/>
  <c r="W30" i="21"/>
  <c r="W29" i="21"/>
  <c r="AC29" i="21"/>
  <c r="S27" i="21"/>
  <c r="AB25" i="21"/>
  <c r="U26" i="21"/>
  <c r="AA31" i="21"/>
  <c r="H30" i="21"/>
  <c r="W31" i="21"/>
  <c r="S26" i="21"/>
  <c r="F29" i="21"/>
  <c r="U27" i="21"/>
  <c r="W25" i="21"/>
  <c r="AA30" i="21"/>
  <c r="S21" i="21"/>
  <c r="AB19" i="21"/>
  <c r="AC19" i="21"/>
  <c r="S19" i="21"/>
  <c r="W17" i="21"/>
  <c r="S17" i="21"/>
  <c r="U17" i="21"/>
  <c r="F77" i="21"/>
  <c r="G77" i="21" s="1"/>
  <c r="H15" i="21"/>
  <c r="AB15" i="21" s="1"/>
  <c r="J15" i="21"/>
  <c r="W15" i="21" s="1"/>
  <c r="F15" i="21"/>
  <c r="S15" i="21" s="1"/>
  <c r="U14" i="21"/>
  <c r="AB14" i="21"/>
  <c r="U13" i="21"/>
  <c r="AB13" i="21"/>
  <c r="W13" i="21"/>
  <c r="W12" i="21"/>
  <c r="F13" i="21"/>
  <c r="S14" i="21"/>
  <c r="G66" i="21"/>
  <c r="H66" i="21" s="1"/>
  <c r="I66" i="21" s="1"/>
  <c r="H10" i="21"/>
  <c r="J10" i="21"/>
  <c r="F10" i="21"/>
  <c r="S10" i="21" s="1"/>
  <c r="W9" i="21"/>
  <c r="AA9" i="21"/>
  <c r="U9" i="21"/>
  <c r="AB8" i="21"/>
  <c r="S8" i="21"/>
  <c r="G5" i="3"/>
  <c r="B3" i="3" s="1"/>
  <c r="E8" i="6"/>
  <c r="E58" i="39" s="1"/>
  <c r="BA13" i="3"/>
  <c r="K6" i="1"/>
  <c r="M6" i="1" s="1"/>
  <c r="O6" i="1" s="1"/>
  <c r="P6" i="1" s="1"/>
  <c r="C15" i="12" s="1"/>
  <c r="C9" i="12"/>
  <c r="BA5" i="3"/>
  <c r="E384" i="3"/>
  <c r="E121" i="3"/>
  <c r="E232" i="3"/>
  <c r="E406" i="3"/>
  <c r="E159" i="3"/>
  <c r="E25" i="3"/>
  <c r="E184" i="3"/>
  <c r="E487" i="3"/>
  <c r="E219" i="3"/>
  <c r="E51" i="3"/>
  <c r="E60" i="3"/>
  <c r="E53" i="40"/>
  <c r="P62" i="15"/>
  <c r="C7" i="33"/>
  <c r="C58" i="33" s="1"/>
  <c r="F7" i="33" s="1"/>
  <c r="AP11" i="1"/>
  <c r="C7" i="34"/>
  <c r="C59" i="34" s="1"/>
  <c r="D38" i="4"/>
  <c r="C39" i="4" s="1"/>
  <c r="G19" i="46"/>
  <c r="O19" i="46" s="1"/>
  <c r="G9" i="1"/>
  <c r="C7" i="35"/>
  <c r="C48" i="35" s="1"/>
  <c r="D48" i="35" s="1"/>
  <c r="C7" i="36"/>
  <c r="C46" i="36" s="1"/>
  <c r="C7" i="37"/>
  <c r="C52" i="37" s="1"/>
  <c r="D52" i="37" s="1"/>
  <c r="E52" i="37" s="1"/>
  <c r="C9" i="40"/>
  <c r="C65" i="40" s="1"/>
  <c r="N67" i="9"/>
  <c r="D86" i="9"/>
  <c r="F32" i="15"/>
  <c r="F59" i="15" s="1"/>
  <c r="F66" i="9"/>
  <c r="P72" i="9" s="1"/>
  <c r="F31" i="43"/>
  <c r="F29" i="12"/>
  <c r="F72" i="9"/>
  <c r="D23" i="15"/>
  <c r="L19" i="6"/>
  <c r="E471" i="3"/>
  <c r="E408" i="3"/>
  <c r="E36" i="3"/>
  <c r="E428" i="3"/>
  <c r="E441" i="3"/>
  <c r="E399" i="3"/>
  <c r="E357" i="3"/>
  <c r="E179" i="3"/>
  <c r="E247" i="3"/>
  <c r="E568" i="3"/>
  <c r="E451" i="3"/>
  <c r="U6" i="3"/>
  <c r="E365" i="3"/>
  <c r="E126" i="3"/>
  <c r="E466" i="3"/>
  <c r="E561" i="3"/>
  <c r="E193" i="3"/>
  <c r="E278" i="3"/>
  <c r="E387" i="3"/>
  <c r="R6" i="3"/>
  <c r="E140" i="3"/>
  <c r="E84" i="3"/>
  <c r="E468" i="3"/>
  <c r="E70" i="3"/>
  <c r="E313" i="3"/>
  <c r="E27" i="3"/>
  <c r="W6" i="3"/>
  <c r="E560" i="3"/>
  <c r="E203" i="3"/>
  <c r="E402" i="3"/>
  <c r="E393" i="3"/>
  <c r="E417" i="3"/>
  <c r="E279" i="3"/>
  <c r="E347" i="3"/>
  <c r="E453" i="3"/>
  <c r="E58" i="3"/>
  <c r="E162" i="3"/>
  <c r="E285" i="3"/>
  <c r="E229" i="3"/>
  <c r="E433" i="3"/>
  <c r="E191" i="3"/>
  <c r="E300" i="3"/>
  <c r="E355" i="3"/>
  <c r="E530" i="3"/>
  <c r="E194" i="3"/>
  <c r="E78" i="3"/>
  <c r="E492" i="3"/>
  <c r="E295" i="3"/>
  <c r="E170" i="3"/>
  <c r="E274" i="3"/>
  <c r="E447" i="3"/>
  <c r="E33" i="3"/>
  <c r="E500" i="3"/>
  <c r="E97" i="3"/>
  <c r="E113" i="3"/>
  <c r="E425" i="3"/>
  <c r="O6" i="3"/>
  <c r="E204" i="3"/>
  <c r="E196" i="3"/>
  <c r="E259" i="3"/>
  <c r="E96" i="3"/>
  <c r="AG6" i="3"/>
  <c r="E419" i="3"/>
  <c r="E290" i="3"/>
  <c r="E40" i="3"/>
  <c r="E29" i="3"/>
  <c r="E491" i="3"/>
  <c r="E525" i="3"/>
  <c r="K6" i="3"/>
  <c r="E456" i="3"/>
  <c r="E353" i="3"/>
  <c r="E50" i="3"/>
  <c r="AJ6" i="3"/>
  <c r="E236" i="3"/>
  <c r="E474" i="3"/>
  <c r="E15" i="3"/>
  <c r="E171" i="3"/>
  <c r="E354" i="3"/>
  <c r="E56" i="3"/>
  <c r="E531" i="3"/>
  <c r="E495" i="3"/>
  <c r="E208" i="3"/>
  <c r="E344" i="3"/>
  <c r="E335" i="3"/>
  <c r="E483" i="3"/>
  <c r="E366" i="3"/>
  <c r="E330" i="3"/>
  <c r="E340" i="3"/>
  <c r="E350" i="3"/>
  <c r="E496" i="3"/>
  <c r="E130" i="3"/>
  <c r="E352" i="3"/>
  <c r="E461" i="3"/>
  <c r="E138" i="3"/>
  <c r="E328" i="3"/>
  <c r="E519" i="3"/>
  <c r="E155" i="3"/>
  <c r="E356" i="3"/>
  <c r="E484" i="3"/>
  <c r="E301" i="3"/>
  <c r="E341" i="3"/>
  <c r="E542" i="3"/>
  <c r="E516" i="3"/>
  <c r="E371" i="3"/>
  <c r="E518" i="3"/>
  <c r="E364" i="3"/>
  <c r="E267" i="3"/>
  <c r="E181" i="3"/>
  <c r="E339" i="3"/>
  <c r="E19" i="3"/>
  <c r="E320" i="3"/>
  <c r="E436" i="3"/>
  <c r="E108" i="3"/>
  <c r="E502" i="3"/>
  <c r="E271" i="3"/>
  <c r="E128" i="3"/>
  <c r="E302" i="3"/>
  <c r="E345" i="3"/>
  <c r="E74" i="3"/>
  <c r="V6" i="3"/>
  <c r="E154" i="3"/>
  <c r="E258" i="3"/>
  <c r="E189" i="3"/>
  <c r="E438" i="3"/>
  <c r="E174" i="3"/>
  <c r="E462" i="3"/>
  <c r="E463" i="3"/>
  <c r="E199" i="3"/>
  <c r="E472" i="3"/>
  <c r="E337" i="3"/>
  <c r="AN6" i="3"/>
  <c r="E503" i="3"/>
  <c r="E380" i="3"/>
  <c r="E565" i="3"/>
  <c r="E318" i="3"/>
  <c r="E175" i="3"/>
  <c r="E316" i="3"/>
  <c r="E268" i="3"/>
  <c r="E511" i="3"/>
  <c r="E244" i="3"/>
  <c r="E563" i="3"/>
  <c r="AB6" i="3"/>
  <c r="E504" i="3"/>
  <c r="E553" i="3"/>
  <c r="E310" i="3"/>
  <c r="E368" i="3"/>
  <c r="E497" i="3"/>
  <c r="E501" i="3"/>
  <c r="E351" i="3"/>
  <c r="E506" i="3"/>
  <c r="E323" i="3"/>
  <c r="E226" i="3"/>
  <c r="E144" i="3"/>
  <c r="E361" i="3"/>
  <c r="E106" i="3"/>
  <c r="E360" i="3"/>
  <c r="E498" i="3"/>
  <c r="E90" i="3"/>
  <c r="E392" i="3"/>
  <c r="E385" i="3"/>
  <c r="E177" i="3"/>
  <c r="E396" i="3"/>
  <c r="E246" i="3"/>
  <c r="E403" i="3"/>
  <c r="E334" i="3"/>
  <c r="E180" i="3"/>
  <c r="E314" i="3"/>
  <c r="E256" i="3"/>
  <c r="E24" i="3"/>
  <c r="E76" i="3"/>
  <c r="AF6" i="3"/>
  <c r="E239" i="3"/>
  <c r="AI6" i="3"/>
  <c r="E505" i="3"/>
  <c r="E513" i="3"/>
  <c r="E105" i="3"/>
  <c r="E526" i="3"/>
  <c r="E243" i="3"/>
  <c r="E543" i="3"/>
  <c r="E479" i="3"/>
  <c r="E116" i="3"/>
  <c r="E467" i="3"/>
  <c r="E272" i="3"/>
  <c r="E507" i="3"/>
  <c r="E533" i="3"/>
  <c r="E455" i="3"/>
  <c r="E473" i="3"/>
  <c r="E129" i="3"/>
  <c r="E178" i="3"/>
  <c r="E47" i="3"/>
  <c r="E442" i="3"/>
  <c r="E292" i="3"/>
  <c r="E213" i="3"/>
  <c r="E423" i="3"/>
  <c r="E549" i="3"/>
  <c r="E253" i="3"/>
  <c r="E158" i="3"/>
  <c r="E157" i="3"/>
  <c r="E59" i="3"/>
  <c r="E411" i="3"/>
  <c r="E481" i="3"/>
  <c r="E326" i="3"/>
  <c r="E382" i="3"/>
  <c r="E240" i="3"/>
  <c r="E322" i="3"/>
  <c r="E488" i="3"/>
  <c r="E329" i="3"/>
  <c r="E515" i="3"/>
  <c r="E522" i="3"/>
  <c r="E514" i="3"/>
  <c r="E338" i="3"/>
  <c r="E118" i="3"/>
  <c r="E35" i="3"/>
  <c r="E284" i="3"/>
  <c r="E432" i="3"/>
  <c r="E277" i="3"/>
  <c r="E286" i="3"/>
  <c r="E558" i="3"/>
  <c r="E508" i="3"/>
  <c r="E559" i="3"/>
  <c r="E234" i="3"/>
  <c r="E72" i="3"/>
  <c r="E160" i="3"/>
  <c r="E370" i="3"/>
  <c r="E486" i="3"/>
  <c r="E429" i="3"/>
  <c r="E401" i="3"/>
  <c r="E398" i="3"/>
  <c r="E482" i="3"/>
  <c r="E75" i="3"/>
  <c r="E218" i="3"/>
  <c r="E452" i="3"/>
  <c r="E249" i="3"/>
  <c r="E450" i="3"/>
  <c r="E270" i="3"/>
  <c r="E283" i="3"/>
  <c r="E564" i="3"/>
  <c r="E20" i="3"/>
  <c r="E509" i="3"/>
  <c r="E358" i="3"/>
  <c r="E18" i="3"/>
  <c r="E377" i="3"/>
  <c r="E17" i="3"/>
  <c r="E71" i="3"/>
  <c r="E254" i="3"/>
  <c r="E26" i="3"/>
  <c r="E227" i="3"/>
  <c r="E494" i="3"/>
  <c r="E567" i="3"/>
  <c r="E572" i="3"/>
  <c r="E167" i="3"/>
  <c r="E512" i="3"/>
  <c r="E342" i="3"/>
  <c r="E562" i="3"/>
  <c r="E312" i="3"/>
  <c r="E378" i="3"/>
  <c r="E269" i="3"/>
  <c r="E182" i="3"/>
  <c r="E14" i="3"/>
  <c r="E42" i="3"/>
  <c r="E212" i="3"/>
  <c r="E153" i="3"/>
  <c r="E45" i="3"/>
  <c r="E524" i="3"/>
  <c r="E260" i="3"/>
  <c r="E183" i="3"/>
  <c r="E81" i="3"/>
  <c r="E173" i="3"/>
  <c r="E489" i="3"/>
  <c r="E493" i="3"/>
  <c r="E499" i="3"/>
  <c r="E306" i="3"/>
  <c r="E150" i="3"/>
  <c r="E362" i="3"/>
  <c r="E458" i="3"/>
  <c r="E66" i="3"/>
  <c r="E123" i="3"/>
  <c r="E281" i="3"/>
  <c r="E134" i="3"/>
  <c r="E540" i="3"/>
  <c r="E477" i="3"/>
  <c r="E309" i="3"/>
  <c r="E264" i="3"/>
  <c r="E43" i="3"/>
  <c r="E372" i="3"/>
  <c r="E67" i="3"/>
  <c r="E102" i="3"/>
  <c r="E275" i="3"/>
  <c r="E37" i="3"/>
  <c r="E363" i="3"/>
  <c r="N6" i="3"/>
  <c r="E98" i="3"/>
  <c r="J6" i="3"/>
  <c r="E545" i="3"/>
  <c r="E110" i="3"/>
  <c r="E426" i="3"/>
  <c r="E536" i="3"/>
  <c r="E435" i="3"/>
  <c r="E460" i="3"/>
  <c r="E537" i="3"/>
  <c r="E187" i="3"/>
  <c r="F27" i="6"/>
  <c r="E27" i="6" s="1"/>
  <c r="E161" i="3"/>
  <c r="E464" i="3"/>
  <c r="E265" i="3"/>
  <c r="H5" i="3"/>
  <c r="F30" i="6"/>
  <c r="L27" i="6"/>
  <c r="AZ13" i="3"/>
  <c r="AZ5" i="3" s="1"/>
  <c r="E3" i="6" s="1"/>
  <c r="E6" i="6" s="1"/>
  <c r="BL5" i="3"/>
  <c r="A30" i="64"/>
  <c r="A30" i="51"/>
  <c r="B22" i="63" s="1"/>
  <c r="D12" i="11"/>
  <c r="C12" i="11" s="1"/>
  <c r="L16" i="4"/>
  <c r="K17" i="4" s="1"/>
  <c r="A22" i="51" s="1"/>
  <c r="B16" i="63" s="1"/>
  <c r="K34" i="9"/>
  <c r="O41" i="9"/>
  <c r="R8" i="54" s="1"/>
  <c r="B54" i="63" s="1"/>
  <c r="I14" i="66"/>
  <c r="B8" i="66" s="1"/>
  <c r="A25" i="51"/>
  <c r="B18" i="63" s="1"/>
  <c r="D58" i="21"/>
  <c r="E58" i="21" s="1"/>
  <c r="F58" i="21" s="1"/>
  <c r="G58" i="21" s="1"/>
  <c r="H58" i="21" s="1"/>
  <c r="I58" i="21" s="1"/>
  <c r="J58" i="21" s="1"/>
  <c r="K58" i="21" s="1"/>
  <c r="L58" i="21" s="1"/>
  <c r="M58" i="21" s="1"/>
  <c r="N58" i="21" s="1"/>
  <c r="O58"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Z5" i="59"/>
  <c r="Y6" i="59"/>
  <c r="Z6" i="59" s="1"/>
  <c r="AB8" i="59"/>
  <c r="AB7" i="59"/>
  <c r="AB6" i="59"/>
  <c r="AA11" i="59"/>
  <c r="X9" i="59"/>
  <c r="X7" i="59"/>
  <c r="X6" i="59"/>
  <c r="AA7" i="59"/>
  <c r="AA6" i="59"/>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31" i="43"/>
  <c r="H1" i="65"/>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D46" i="36"/>
  <c r="E48" i="35"/>
  <c r="D59" i="34"/>
  <c r="G6" i="1"/>
  <c r="H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H72" i="46"/>
  <c r="H69" i="46"/>
  <c r="H77" i="46"/>
  <c r="H76" i="46"/>
  <c r="H55" i="46"/>
  <c r="H54" i="46"/>
  <c r="H52" i="46"/>
  <c r="H47" i="46"/>
  <c r="AD12" i="46"/>
  <c r="AH12" i="46"/>
  <c r="C8" i="59"/>
  <c r="C7" i="59" s="1"/>
  <c r="T7" i="59" s="1"/>
  <c r="B6" i="52"/>
  <c r="E7" i="52"/>
  <c r="C4" i="4" s="1"/>
  <c r="B20" i="55" s="1"/>
  <c r="E6" i="52"/>
  <c r="E4" i="52"/>
  <c r="B7" i="52"/>
  <c r="E5" i="52"/>
  <c r="B8" i="59"/>
  <c r="B7" i="59" s="1"/>
  <c r="S7" i="59" s="1"/>
  <c r="D8" i="59"/>
  <c r="P22" i="46"/>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F31" i="15"/>
  <c r="M19" i="44"/>
  <c r="M17" i="15"/>
  <c r="F33" i="44"/>
  <c r="F58" i="15"/>
  <c r="I6" i="65"/>
  <c r="J5" i="65"/>
  <c r="I5" i="65"/>
  <c r="I4" i="65"/>
  <c r="C18" i="44"/>
  <c r="C16" i="15"/>
  <c r="J6" i="65"/>
  <c r="J4" i="65"/>
  <c r="I7" i="65"/>
  <c r="J7" i="65"/>
  <c r="J3" i="65"/>
  <c r="I3" i="65"/>
  <c r="B72" i="63" l="1"/>
  <c r="B70" i="63"/>
  <c r="P25" i="46"/>
  <c r="B73" i="39" s="1"/>
  <c r="P24" i="46"/>
  <c r="B68" i="40" s="1"/>
  <c r="P23" i="46"/>
  <c r="P21" i="46"/>
  <c r="F27" i="43"/>
  <c r="C27" i="43" s="1"/>
  <c r="F28" i="15"/>
  <c r="C28" i="15" s="1"/>
  <c r="M20" i="44"/>
  <c r="F34" i="44"/>
  <c r="F30" i="44"/>
  <c r="C30" i="44" s="1"/>
  <c r="F71" i="9"/>
  <c r="F70" i="9"/>
  <c r="M18" i="15"/>
  <c r="W27" i="39"/>
  <c r="U27" i="39"/>
  <c r="AB23" i="39"/>
  <c r="S23" i="39"/>
  <c r="U29" i="39"/>
  <c r="AC19" i="39"/>
  <c r="AA29" i="39"/>
  <c r="W29" i="39"/>
  <c r="U23" i="21"/>
  <c r="AA15" i="21"/>
  <c r="AA19" i="39"/>
  <c r="U19" i="39"/>
  <c r="E510" i="3"/>
  <c r="AT6" i="3"/>
  <c r="S33" i="39"/>
  <c r="AA33" i="39"/>
  <c r="S13" i="39"/>
  <c r="AA13" i="39"/>
  <c r="W14" i="39"/>
  <c r="AC14" i="39"/>
  <c r="AC46" i="39"/>
  <c r="W46" i="39"/>
  <c r="E521" i="3"/>
  <c r="E532" i="3"/>
  <c r="E485" i="3"/>
  <c r="E122" i="3"/>
  <c r="E251" i="3"/>
  <c r="E546" i="3"/>
  <c r="E569" i="3"/>
  <c r="E319" i="3"/>
  <c r="E188" i="3"/>
  <c r="E87" i="3"/>
  <c r="E198" i="3"/>
  <c r="E308" i="3"/>
  <c r="E207" i="3"/>
  <c r="E257" i="3"/>
  <c r="AE6" i="3"/>
  <c r="Q6" i="3"/>
  <c r="E32" i="3"/>
  <c r="E89" i="3"/>
  <c r="E390" i="3"/>
  <c r="E535" i="3"/>
  <c r="E555" i="3"/>
  <c r="E120" i="3"/>
  <c r="E235" i="3"/>
  <c r="AQ6" i="3"/>
  <c r="E517" i="3"/>
  <c r="E145" i="3"/>
  <c r="E107" i="3"/>
  <c r="E420" i="3"/>
  <c r="E405" i="3"/>
  <c r="E38" i="3"/>
  <c r="E142" i="3"/>
  <c r="E125" i="3"/>
  <c r="E104" i="3"/>
  <c r="E156" i="3"/>
  <c r="E336" i="3"/>
  <c r="E291" i="3"/>
  <c r="E332" i="3"/>
  <c r="E444" i="3"/>
  <c r="E415" i="3"/>
  <c r="E100" i="3"/>
  <c r="E44" i="3"/>
  <c r="E298" i="3"/>
  <c r="AM6" i="3"/>
  <c r="E538" i="3"/>
  <c r="E63" i="3"/>
  <c r="T6" i="3"/>
  <c r="E133" i="3"/>
  <c r="E228" i="3"/>
  <c r="E386" i="3"/>
  <c r="E242" i="3"/>
  <c r="E416" i="3"/>
  <c r="E449" i="3"/>
  <c r="E166" i="3"/>
  <c r="E289" i="3"/>
  <c r="E119" i="3"/>
  <c r="E547" i="3"/>
  <c r="E201" i="3"/>
  <c r="E296" i="3"/>
  <c r="E443" i="3"/>
  <c r="E379" i="3"/>
  <c r="E529" i="3"/>
  <c r="E61" i="3"/>
  <c r="E197" i="3"/>
  <c r="E400" i="3"/>
  <c r="E480" i="3"/>
  <c r="E255" i="3"/>
  <c r="E233" i="3"/>
  <c r="E469" i="3"/>
  <c r="E151" i="3"/>
  <c r="AP6" i="3"/>
  <c r="AH6" i="3"/>
  <c r="E376" i="3"/>
  <c r="E381" i="3"/>
  <c r="Y6" i="3"/>
  <c r="E73" i="3"/>
  <c r="E245" i="3"/>
  <c r="E407" i="3"/>
  <c r="E28" i="3"/>
  <c r="E374" i="3"/>
  <c r="E202" i="3"/>
  <c r="E395" i="3"/>
  <c r="E440" i="3"/>
  <c r="E250" i="3"/>
  <c r="E287" i="3"/>
  <c r="E252" i="3"/>
  <c r="E217" i="3"/>
  <c r="E303" i="3"/>
  <c r="E214" i="3"/>
  <c r="E52" i="3"/>
  <c r="E136" i="3"/>
  <c r="AS6" i="3"/>
  <c r="E478" i="3"/>
  <c r="E223" i="3"/>
  <c r="E304" i="3"/>
  <c r="E92" i="3"/>
  <c r="E554" i="3"/>
  <c r="E544" i="3"/>
  <c r="E79" i="3"/>
  <c r="E373" i="3"/>
  <c r="I3" i="6"/>
  <c r="E331" i="3"/>
  <c r="E273" i="3"/>
  <c r="E397" i="3"/>
  <c r="AA29" i="21"/>
  <c r="S29" i="21"/>
  <c r="U30" i="21"/>
  <c r="AB30" i="21"/>
  <c r="AC15" i="21"/>
  <c r="U15" i="21"/>
  <c r="S13" i="21"/>
  <c r="AA13" i="21"/>
  <c r="AC10" i="21"/>
  <c r="W10" i="21"/>
  <c r="U10" i="21"/>
  <c r="AB10" i="21"/>
  <c r="AA10" i="21"/>
  <c r="E220" i="3"/>
  <c r="E88" i="3"/>
  <c r="E172" i="3"/>
  <c r="E261" i="3"/>
  <c r="E190" i="3"/>
  <c r="E53" i="3"/>
  <c r="E185" i="3"/>
  <c r="E431" i="3"/>
  <c r="P6" i="3"/>
  <c r="E21" i="3"/>
  <c r="E534" i="3"/>
  <c r="E49" i="3"/>
  <c r="E65" i="3"/>
  <c r="E211" i="3"/>
  <c r="E305" i="3"/>
  <c r="E445" i="3"/>
  <c r="E539" i="3"/>
  <c r="E383" i="3"/>
  <c r="E168" i="3"/>
  <c r="E317" i="3"/>
  <c r="E205" i="3"/>
  <c r="E404" i="3"/>
  <c r="E237" i="3"/>
  <c r="E238" i="3"/>
  <c r="E41" i="3"/>
  <c r="E422" i="3"/>
  <c r="E307" i="3"/>
  <c r="E112" i="3"/>
  <c r="E149" i="3"/>
  <c r="E224" i="3"/>
  <c r="E169" i="3"/>
  <c r="E523" i="3"/>
  <c r="E276" i="3"/>
  <c r="E95" i="3"/>
  <c r="E137" i="3"/>
  <c r="E225" i="3"/>
  <c r="E557" i="3"/>
  <c r="E176" i="3"/>
  <c r="E216" i="3"/>
  <c r="AP16" i="1"/>
  <c r="F22" i="11" s="1"/>
  <c r="Q16" i="1"/>
  <c r="F33" i="12" s="1"/>
  <c r="C34" i="12" s="1"/>
  <c r="D33" i="12" s="1"/>
  <c r="E288" i="3"/>
  <c r="E39" i="3"/>
  <c r="E111" i="3"/>
  <c r="E293" i="3"/>
  <c r="E412" i="3"/>
  <c r="E148" i="3"/>
  <c r="E109" i="3"/>
  <c r="E410" i="3"/>
  <c r="E343" i="3"/>
  <c r="E64" i="3"/>
  <c r="E294" i="3"/>
  <c r="E94" i="3"/>
  <c r="E427" i="3"/>
  <c r="E23" i="3"/>
  <c r="AR6" i="3"/>
  <c r="E248" i="3"/>
  <c r="E527" i="3"/>
  <c r="E556" i="3"/>
  <c r="E139" i="3"/>
  <c r="E85" i="3"/>
  <c r="E550" i="3"/>
  <c r="E34" i="3"/>
  <c r="E141" i="3"/>
  <c r="E80" i="3"/>
  <c r="E367" i="3"/>
  <c r="E30" i="3"/>
  <c r="E165" i="3"/>
  <c r="E131" i="3"/>
  <c r="E414" i="3"/>
  <c r="E418" i="3"/>
  <c r="E297" i="3"/>
  <c r="E465" i="3"/>
  <c r="E325" i="3"/>
  <c r="AL6" i="3"/>
  <c r="E13" i="3"/>
  <c r="E490" i="3"/>
  <c r="E369" i="3"/>
  <c r="E16" i="3"/>
  <c r="E566" i="3"/>
  <c r="E280" i="3"/>
  <c r="L6" i="3"/>
  <c r="E324" i="3"/>
  <c r="E163" i="3"/>
  <c r="E541" i="3"/>
  <c r="E210" i="3"/>
  <c r="E315" i="3"/>
  <c r="E551" i="3"/>
  <c r="E48" i="3"/>
  <c r="S6" i="3"/>
  <c r="E346" i="3"/>
  <c r="E571" i="3"/>
  <c r="C15" i="43"/>
  <c r="H16" i="1"/>
  <c r="E54" i="3"/>
  <c r="E448" i="3"/>
  <c r="E209" i="3"/>
  <c r="F31" i="6"/>
  <c r="G16" i="1"/>
  <c r="F12" i="39" s="1"/>
  <c r="J7" i="33"/>
  <c r="J7" i="21"/>
  <c r="H7" i="21"/>
  <c r="AB7" i="21" s="1"/>
  <c r="T48" i="21" s="1"/>
  <c r="G48" i="21" s="1"/>
  <c r="F104" i="46"/>
  <c r="F107" i="46"/>
  <c r="H6" i="3"/>
  <c r="AY6" i="3"/>
  <c r="AY67" i="3" s="1"/>
  <c r="D10" i="11"/>
  <c r="F103" i="46"/>
  <c r="F105" i="46"/>
  <c r="M109" i="46"/>
  <c r="M103" i="46"/>
  <c r="F102" i="46"/>
  <c r="F109" i="46"/>
  <c r="I106" i="46"/>
  <c r="D22" i="12"/>
  <c r="C22" i="12" s="1"/>
  <c r="C20" i="12" s="1"/>
  <c r="D13" i="11"/>
  <c r="C13" i="11" s="1"/>
  <c r="D46" i="9"/>
  <c r="C21" i="4"/>
  <c r="O5" i="54" s="1"/>
  <c r="B45" i="63" s="1"/>
  <c r="D16" i="43"/>
  <c r="C16" i="43" s="1"/>
  <c r="L38" i="9"/>
  <c r="B14" i="66" s="1"/>
  <c r="B1" i="66" s="1"/>
  <c r="D16" i="12"/>
  <c r="D45" i="9"/>
  <c r="AH13" i="46"/>
  <c r="E65" i="40"/>
  <c r="D67" i="40"/>
  <c r="F7" i="21"/>
  <c r="E70" i="39"/>
  <c r="D72" i="39"/>
  <c r="F6" i="59"/>
  <c r="F5" i="59" s="1"/>
  <c r="V7" i="59"/>
  <c r="B6" i="59"/>
  <c r="B5" i="59" s="1"/>
  <c r="D7" i="59"/>
  <c r="C6" i="59"/>
  <c r="D107" i="46"/>
  <c r="M106" i="46"/>
  <c r="M104" i="46"/>
  <c r="J1" i="65"/>
  <c r="I1" i="65"/>
  <c r="E20" i="46"/>
  <c r="P28" i="46" s="1"/>
  <c r="M102" i="46"/>
  <c r="H107" i="46"/>
  <c r="M105" i="46"/>
  <c r="C5" i="46"/>
  <c r="H105" i="46"/>
  <c r="H109" i="46"/>
  <c r="D103" i="46"/>
  <c r="D102" i="46"/>
  <c r="H104" i="46"/>
  <c r="H106" i="46"/>
  <c r="D22" i="46"/>
  <c r="D5" i="46"/>
  <c r="D105" i="46"/>
  <c r="D109" i="46"/>
  <c r="D104" i="46"/>
  <c r="AJ13" i="46"/>
  <c r="I109" i="46"/>
  <c r="AY80" i="3"/>
  <c r="AY128" i="3"/>
  <c r="AY504" i="3"/>
  <c r="AY31" i="3"/>
  <c r="AY234" i="3"/>
  <c r="AY416" i="3"/>
  <c r="AY55" i="3"/>
  <c r="AY364" i="3"/>
  <c r="AY70" i="3"/>
  <c r="AY350" i="3"/>
  <c r="AY50" i="3"/>
  <c r="AY400" i="3"/>
  <c r="AY340" i="3"/>
  <c r="AY420" i="3"/>
  <c r="AY188" i="3"/>
  <c r="AY501" i="3"/>
  <c r="AY481" i="3"/>
  <c r="AY150" i="3"/>
  <c r="AY432" i="3"/>
  <c r="AY123" i="3"/>
  <c r="AY337" i="3"/>
  <c r="AY359" i="3"/>
  <c r="AY229" i="3"/>
  <c r="AY314" i="3"/>
  <c r="AY86" i="3"/>
  <c r="AY494" i="3"/>
  <c r="AY154" i="3"/>
  <c r="AY218" i="3"/>
  <c r="AY443" i="3"/>
  <c r="AY219" i="3"/>
  <c r="AY471" i="3"/>
  <c r="AY318" i="3"/>
  <c r="AY283" i="3"/>
  <c r="AY413" i="3"/>
  <c r="AY562" i="3"/>
  <c r="AY303" i="3"/>
  <c r="AY32" i="3"/>
  <c r="AY485" i="3"/>
  <c r="AY565" i="3"/>
  <c r="AY527" i="3"/>
  <c r="AY461" i="3"/>
  <c r="AY546" i="3"/>
  <c r="AY242" i="3"/>
  <c r="AY174" i="3"/>
  <c r="AY90" i="3"/>
  <c r="AY385" i="3"/>
  <c r="AY390" i="3"/>
  <c r="AY540" i="3"/>
  <c r="AY328" i="3"/>
  <c r="AY344" i="3"/>
  <c r="AY355" i="3"/>
  <c r="AY220" i="3"/>
  <c r="AY17" i="3"/>
  <c r="AY563" i="3"/>
  <c r="AY71" i="3"/>
  <c r="AY190" i="3"/>
  <c r="AY285" i="3"/>
  <c r="AY404" i="3"/>
  <c r="AY133" i="3"/>
  <c r="AY84" i="3"/>
  <c r="AY195" i="3"/>
  <c r="AY401" i="3"/>
  <c r="AY538" i="3"/>
  <c r="AY495" i="3"/>
  <c r="AY534" i="3"/>
  <c r="AY267" i="3"/>
  <c r="AY557" i="3"/>
  <c r="AY363" i="3"/>
  <c r="AY478" i="3"/>
  <c r="AY545" i="3"/>
  <c r="AY418" i="3"/>
  <c r="AY339" i="3"/>
  <c r="AY434" i="3"/>
  <c r="AY433" i="3"/>
  <c r="AY289" i="3"/>
  <c r="AY547" i="3"/>
  <c r="AY93" i="3"/>
  <c r="AY455" i="3"/>
  <c r="AY130" i="3"/>
  <c r="AY213" i="3"/>
  <c r="AY334" i="3"/>
  <c r="AY502" i="3"/>
  <c r="AY331" i="3"/>
  <c r="AY110" i="3"/>
  <c r="AY270" i="3"/>
  <c r="AY298" i="3"/>
  <c r="AY487" i="3"/>
  <c r="AY403" i="3"/>
  <c r="AY571" i="3"/>
  <c r="AY514" i="3"/>
  <c r="AY509" i="3"/>
  <c r="AY454" i="3"/>
  <c r="AY554" i="3"/>
  <c r="AY499" i="3"/>
  <c r="AY539" i="3"/>
  <c r="AY391" i="3"/>
  <c r="AY532" i="3"/>
  <c r="AY507" i="3"/>
  <c r="AY564" i="3"/>
  <c r="AY48" i="3"/>
  <c r="AY212" i="3"/>
  <c r="AY215" i="3"/>
  <c r="BB6" i="3"/>
  <c r="AY61" i="3"/>
  <c r="AY251" i="3"/>
  <c r="AY23" i="3"/>
  <c r="AY296" i="3"/>
  <c r="AY237" i="3"/>
  <c r="AY353" i="3"/>
  <c r="AY173" i="3"/>
  <c r="AY338" i="3"/>
  <c r="AY59" i="3"/>
  <c r="AY284" i="3"/>
  <c r="AY522" i="3"/>
  <c r="AY79" i="3"/>
  <c r="AY306" i="3"/>
  <c r="AY419" i="3"/>
  <c r="AY33" i="3"/>
  <c r="AY243" i="3"/>
  <c r="AY473" i="3"/>
  <c r="AY42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E7" i="1"/>
  <c r="F18" i="11" l="1"/>
  <c r="C18" i="11" s="1"/>
  <c r="AY186" i="3"/>
  <c r="AY553" i="3"/>
  <c r="AY458" i="3"/>
  <c r="AY407" i="3"/>
  <c r="AY323" i="3"/>
  <c r="AY162" i="3"/>
  <c r="AY316" i="3"/>
  <c r="AY176" i="3"/>
  <c r="AY158" i="3"/>
  <c r="AY428" i="3"/>
  <c r="AY544" i="3"/>
  <c r="AY394" i="3"/>
  <c r="AY311" i="3"/>
  <c r="AY36" i="3"/>
  <c r="AY572" i="3"/>
  <c r="AY305" i="3"/>
  <c r="AY435" i="3"/>
  <c r="AY310" i="3"/>
  <c r="AY343" i="3"/>
  <c r="AY467" i="3"/>
  <c r="AY126" i="3"/>
  <c r="AY159" i="3"/>
  <c r="AY163" i="3"/>
  <c r="AY325" i="3"/>
  <c r="AY399" i="3"/>
  <c r="AY107" i="3"/>
  <c r="AY498" i="3"/>
  <c r="AY396" i="3"/>
  <c r="AY367" i="3"/>
  <c r="AY148" i="3"/>
  <c r="AY409" i="3"/>
  <c r="AY42" i="3"/>
  <c r="AY268" i="3"/>
  <c r="AY321" i="3"/>
  <c r="BS6" i="3"/>
  <c r="AY28" i="3"/>
  <c r="AY516" i="3"/>
  <c r="AY442" i="3"/>
  <c r="AY101" i="3"/>
  <c r="AY115" i="3"/>
  <c r="AY141" i="3"/>
  <c r="AY181" i="3"/>
  <c r="AY264" i="3"/>
  <c r="AY100" i="3"/>
  <c r="D3" i="6"/>
  <c r="AY486" i="3"/>
  <c r="AY41" i="3"/>
  <c r="AY179" i="3"/>
  <c r="AY47" i="3"/>
  <c r="AY175" i="3"/>
  <c r="AY209" i="3"/>
  <c r="AY402" i="3"/>
  <c r="AY139" i="3"/>
  <c r="AY560" i="3"/>
  <c r="AY265" i="3"/>
  <c r="BK6" i="3"/>
  <c r="AY226" i="3"/>
  <c r="AY161" i="3"/>
  <c r="AY132" i="3"/>
  <c r="AY405" i="3"/>
  <c r="AY43" i="3"/>
  <c r="AY528" i="3"/>
  <c r="AY103" i="3"/>
  <c r="AY216" i="3"/>
  <c r="AY117" i="3"/>
  <c r="AY172" i="3"/>
  <c r="AY254" i="3"/>
  <c r="AY369" i="3"/>
  <c r="AY437" i="3"/>
  <c r="AY493" i="3"/>
  <c r="AY431" i="3"/>
  <c r="AY510" i="3"/>
  <c r="AY75" i="3"/>
  <c r="AY290" i="3"/>
  <c r="AY392" i="3"/>
  <c r="AY356" i="3"/>
  <c r="AY138" i="3"/>
  <c r="BA6" i="3"/>
  <c r="AY446" i="3"/>
  <c r="AY22" i="3"/>
  <c r="BT6" i="3"/>
  <c r="AY370" i="3"/>
  <c r="AY137" i="3"/>
  <c r="AY500" i="3"/>
  <c r="AY140" i="3"/>
  <c r="BP6" i="3"/>
  <c r="AY489" i="3"/>
  <c r="AY66" i="3"/>
  <c r="AY480" i="3"/>
  <c r="AY287" i="3"/>
  <c r="AY222" i="3"/>
  <c r="AY358" i="3"/>
  <c r="AY15" i="3"/>
  <c r="AY505" i="3"/>
  <c r="AY223" i="3"/>
  <c r="AY497" i="3"/>
  <c r="AY357" i="3"/>
  <c r="AY235" i="3"/>
  <c r="AY567"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82" i="3"/>
  <c r="AY58" i="3"/>
  <c r="AY105" i="3"/>
  <c r="AY182" i="3"/>
  <c r="AY118" i="3"/>
  <c r="AY317" i="3"/>
  <c r="AY479" i="3"/>
  <c r="AY250" i="3"/>
  <c r="AY65" i="3"/>
  <c r="AY238" i="3"/>
  <c r="AY459" i="3"/>
  <c r="AY346" i="3"/>
  <c r="AY230" i="3"/>
  <c r="AY272" i="3"/>
  <c r="AY429" i="3"/>
  <c r="AY157" i="3"/>
  <c r="AY99" i="3"/>
  <c r="AY204" i="3"/>
  <c r="AY333" i="3"/>
  <c r="AY280" i="3"/>
  <c r="AY257" i="3"/>
  <c r="AY341" i="3"/>
  <c r="AY76" i="3"/>
  <c r="AY465" i="3"/>
  <c r="AY320" i="3"/>
  <c r="AY273" i="3"/>
  <c r="AY64" i="3"/>
  <c r="AY34" i="3"/>
  <c r="AY368" i="3"/>
  <c r="AY171" i="3"/>
  <c r="AY569" i="3"/>
  <c r="AY288" i="3"/>
  <c r="AY147" i="3"/>
  <c r="AY166" i="3"/>
  <c r="AY211" i="3"/>
  <c r="AY221" i="3"/>
  <c r="AY127" i="3"/>
  <c r="AY239" i="3"/>
  <c r="AY552" i="3"/>
  <c r="AY244" i="3"/>
  <c r="AY152" i="3"/>
  <c r="AY519" i="3"/>
  <c r="AY199" i="3"/>
  <c r="AY417" i="3"/>
  <c r="BF6" i="3"/>
  <c r="AY351" i="3"/>
  <c r="AY492" i="3"/>
  <c r="AY484" i="3"/>
  <c r="AY63" i="3"/>
  <c r="BR6" i="3"/>
  <c r="AY68" i="3"/>
  <c r="AY440" i="3"/>
  <c r="AY327"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F24" i="43"/>
  <c r="C26" i="43" s="1"/>
  <c r="D24" i="43" s="1"/>
  <c r="AY40" i="3"/>
  <c r="AY475" i="3"/>
  <c r="AY60" i="3"/>
  <c r="AY240" i="3"/>
  <c r="AY108" i="3"/>
  <c r="AY506" i="3"/>
  <c r="AY483" i="3"/>
  <c r="AY559" i="3"/>
  <c r="AY185" i="3"/>
  <c r="AY375" i="3"/>
  <c r="AY447" i="3"/>
  <c r="AY153" i="3"/>
  <c r="AY299" i="3"/>
  <c r="AY78" i="3"/>
  <c r="AY208" i="3"/>
  <c r="AY20" i="3"/>
  <c r="AY503" i="3"/>
  <c r="AY247" i="3"/>
  <c r="AY415" i="3"/>
  <c r="AY112" i="3"/>
  <c r="AY518" i="3"/>
  <c r="AY456" i="3"/>
  <c r="AY388" i="3"/>
  <c r="AY245" i="3"/>
  <c r="AY406" i="3"/>
  <c r="AY319" i="3"/>
  <c r="AY380" i="3"/>
  <c r="AY561" i="3"/>
  <c r="AY29" i="3"/>
  <c r="AY371" i="3"/>
  <c r="AY44" i="3"/>
  <c r="AY365" i="3"/>
  <c r="AY46" i="3"/>
  <c r="AY309" i="3"/>
  <c r="AY259" i="3"/>
  <c r="AY515" i="3"/>
  <c r="AY526" i="3"/>
  <c r="AY207" i="3"/>
  <c r="AY24" i="3"/>
  <c r="BH6" i="3"/>
  <c r="AY430" i="3"/>
  <c r="AY282" i="3"/>
  <c r="AY197" i="3"/>
  <c r="AY25" i="3"/>
  <c r="AY183" i="3"/>
  <c r="AY374" i="3"/>
  <c r="AY408" i="3"/>
  <c r="AY246" i="3"/>
  <c r="AY52" i="3"/>
  <c r="AY236" i="3"/>
  <c r="AY308" i="3"/>
  <c r="AY143" i="3"/>
  <c r="AY555" i="3"/>
  <c r="AY382" i="3"/>
  <c r="AY542" i="3"/>
  <c r="AY30" i="3"/>
  <c r="AY241" i="3"/>
  <c r="AY72" i="3"/>
  <c r="AY348" i="3"/>
  <c r="AY169" i="3"/>
  <c r="AY398" i="3"/>
  <c r="AY286" i="3"/>
  <c r="AY202" i="3"/>
  <c r="AY425" i="3"/>
  <c r="AY384" i="3"/>
  <c r="AY277" i="3"/>
  <c r="AY45" i="3"/>
  <c r="AY83" i="3"/>
  <c r="AY95" i="3"/>
  <c r="AY203" i="3"/>
  <c r="AY37" i="3"/>
  <c r="U7" i="21"/>
  <c r="AC6" i="3"/>
  <c r="J12" i="3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F12" i="40"/>
  <c r="H12" i="39"/>
  <c r="O28" i="46"/>
  <c r="H12" i="40"/>
  <c r="U12" i="40" s="1"/>
  <c r="AC7" i="21"/>
  <c r="V48" i="21" s="1"/>
  <c r="I48" i="21" s="1"/>
  <c r="I52" i="21" s="1"/>
  <c r="J52" i="21" s="1"/>
  <c r="W7" i="21"/>
  <c r="AC7" i="33"/>
  <c r="V48" i="33" s="1"/>
  <c r="I48" i="33" s="1"/>
  <c r="I52" i="33" s="1"/>
  <c r="J52" i="33" s="1"/>
  <c r="W7" i="33"/>
  <c r="M20" i="6"/>
  <c r="I20" i="6" s="1"/>
  <c r="S20" i="6" s="1"/>
  <c r="S7" i="1"/>
  <c r="E6" i="3"/>
  <c r="D19" i="12"/>
  <c r="C19" i="12" s="1"/>
  <c r="C16" i="12"/>
  <c r="C7" i="66"/>
  <c r="C8" i="66"/>
  <c r="G52" i="21"/>
  <c r="H52" i="21" s="1"/>
  <c r="F70" i="39"/>
  <c r="E72" i="39"/>
  <c r="AA7" i="21"/>
  <c r="R48" i="21" s="1"/>
  <c r="S7" i="21"/>
  <c r="F65" i="40"/>
  <c r="E67" i="40"/>
  <c r="D6" i="59"/>
  <c r="C5" i="59"/>
  <c r="D5" i="59" s="1"/>
  <c r="M28" i="46"/>
  <c r="G20" i="46" s="1"/>
  <c r="E41" i="46" s="1"/>
  <c r="C41" i="46" s="1"/>
  <c r="N28" i="46"/>
  <c r="B40" i="1"/>
  <c r="F24" i="15" s="1"/>
  <c r="C24" i="15" s="1"/>
  <c r="F17" i="11"/>
  <c r="C17"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5" i="6"/>
  <c r="D9" i="6"/>
  <c r="D5" i="6"/>
  <c r="D29" i="6"/>
  <c r="H22" i="6"/>
  <c r="D15" i="6"/>
  <c r="H26" i="6"/>
  <c r="F46" i="9"/>
  <c r="E46" i="9"/>
  <c r="G52" i="37"/>
  <c r="H7" i="34"/>
  <c r="J7" i="34"/>
  <c r="AA12" i="40"/>
  <c r="S12" i="40"/>
  <c r="S12" i="39"/>
  <c r="AA12" i="39"/>
  <c r="W12" i="40"/>
  <c r="AC12" i="40"/>
  <c r="R49" i="33"/>
  <c r="E48" i="33"/>
  <c r="G48" i="35"/>
  <c r="G52" i="33"/>
  <c r="H52" i="33" s="1"/>
  <c r="G53" i="33"/>
  <c r="H53" i="33" s="1"/>
  <c r="AC12" i="39"/>
  <c r="W12" i="39"/>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L52" i="44"/>
  <c r="C17" i="15"/>
  <c r="AB12" i="40" l="1"/>
  <c r="C19" i="11"/>
  <c r="C20" i="11" s="1"/>
  <c r="C21" i="11" s="1"/>
  <c r="C22" i="11" s="1"/>
  <c r="C23" i="11" s="1"/>
  <c r="B2" i="11" s="1"/>
  <c r="B5" i="11" s="1"/>
  <c r="F68" i="15"/>
  <c r="J29" i="15"/>
  <c r="H20" i="6"/>
  <c r="R20" i="6" s="1"/>
  <c r="R7" i="1" s="1"/>
  <c r="G53" i="21"/>
  <c r="H53" i="21" s="1"/>
  <c r="S16" i="1"/>
  <c r="T8" i="1" s="1"/>
  <c r="R26" i="6"/>
  <c r="F67" i="40"/>
  <c r="G65" i="40"/>
  <c r="E48" i="21"/>
  <c r="R49" i="21"/>
  <c r="F72" i="39"/>
  <c r="G70" i="39"/>
  <c r="F21" i="43"/>
  <c r="C23" i="43" s="1"/>
  <c r="D21" i="43" s="1"/>
  <c r="F7" i="36"/>
  <c r="S7" i="36" s="1"/>
  <c r="C20" i="46"/>
  <c r="M20" i="46"/>
  <c r="C19" i="46" s="1"/>
  <c r="F26" i="12"/>
  <c r="C27" i="12" s="1"/>
  <c r="D26" i="12" s="1"/>
  <c r="C32" i="12" s="1"/>
  <c r="D30" i="12" s="1"/>
  <c r="F26" i="44"/>
  <c r="C26" i="44" s="1"/>
  <c r="R24" i="6"/>
  <c r="D16" i="6"/>
  <c r="D30" i="6"/>
  <c r="R22" i="6"/>
  <c r="R23" i="6"/>
  <c r="R25" i="6"/>
  <c r="D27" i="6"/>
  <c r="I19" i="6"/>
  <c r="M27" i="6"/>
  <c r="D7" i="66"/>
  <c r="D8" i="66"/>
  <c r="R21" i="6"/>
  <c r="A6" i="51"/>
  <c r="B7" i="63" s="1"/>
  <c r="A6" i="64"/>
  <c r="A20" i="64"/>
  <c r="A20" i="51"/>
  <c r="B15" i="63" s="1"/>
  <c r="N5" i="54"/>
  <c r="B43" i="63" s="1"/>
  <c r="T13" i="1"/>
  <c r="M16" i="1"/>
  <c r="T11" i="1"/>
  <c r="T12" i="1"/>
  <c r="O14" i="1"/>
  <c r="O16" i="1" s="1"/>
  <c r="T10" i="1"/>
  <c r="T6" i="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C59" i="15"/>
  <c r="C65" i="15"/>
  <c r="Q49" i="44"/>
  <c r="Q55" i="44" s="1"/>
  <c r="Q67" i="44"/>
  <c r="Q58" i="44"/>
  <c r="M21" i="15"/>
  <c r="F35" i="15"/>
  <c r="C16" i="44"/>
  <c r="B4" i="11" l="1"/>
  <c r="B3" i="11"/>
  <c r="T7" i="1"/>
  <c r="T9" i="1"/>
  <c r="F62" i="15"/>
  <c r="C61" i="15" s="1"/>
  <c r="C34" i="15"/>
  <c r="J20" i="15"/>
  <c r="AA7" i="36"/>
  <c r="R36" i="36" s="1"/>
  <c r="R37" i="36" s="1"/>
  <c r="P14" i="1"/>
  <c r="P16" i="1" s="1"/>
  <c r="C13" i="12" s="1"/>
  <c r="C14" i="12" s="1"/>
  <c r="H70" i="39"/>
  <c r="G72" i="39"/>
  <c r="C48" i="21"/>
  <c r="C49" i="21"/>
  <c r="B3" i="21" s="1"/>
  <c r="C8" i="12"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D31" i="6"/>
  <c r="I6" i="6" s="1"/>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Q68" i="44"/>
  <c r="Q77" i="44" s="1"/>
  <c r="Q59" i="44"/>
  <c r="Q64" i="44" s="1"/>
  <c r="C14" i="15"/>
  <c r="B2" i="21" l="1"/>
  <c r="C10" i="12" s="1"/>
  <c r="C15" i="15"/>
  <c r="C18" i="15"/>
  <c r="T16" i="1"/>
  <c r="E35" i="46"/>
  <c r="C17" i="12"/>
  <c r="C18" i="12" s="1"/>
  <c r="C23" i="12" s="1"/>
  <c r="E29" i="46"/>
  <c r="H67" i="40"/>
  <c r="I65" i="40"/>
  <c r="I70" i="39"/>
  <c r="H72" i="39"/>
  <c r="G39" i="46"/>
  <c r="I39" i="46" s="1"/>
  <c r="E39" i="46"/>
  <c r="E38" i="46"/>
  <c r="G38" i="46"/>
  <c r="I38" i="46" s="1"/>
  <c r="E33" i="46"/>
  <c r="G33" i="46"/>
  <c r="I33" i="46" s="1"/>
  <c r="C27" i="46" s="1"/>
  <c r="G37" i="46"/>
  <c r="I37" i="46" s="1"/>
  <c r="E37" i="46"/>
  <c r="G36" i="46"/>
  <c r="I36" i="46" s="1"/>
  <c r="E36" i="46"/>
  <c r="I5" i="6"/>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C19" i="15" l="1"/>
  <c r="C20" i="15" s="1"/>
  <c r="C26" i="15" s="1"/>
  <c r="R27" i="6"/>
  <c r="R6" i="1"/>
  <c r="R16" i="1" s="1"/>
  <c r="C26" i="46"/>
  <c r="J65" i="40"/>
  <c r="I67" i="40"/>
  <c r="J70" i="39"/>
  <c r="I72" i="39"/>
  <c r="E4" i="67"/>
  <c r="C18" i="43"/>
  <c r="C19" i="43" s="1"/>
  <c r="C25" i="43" s="1"/>
  <c r="C24" i="43" s="1"/>
  <c r="C28" i="44"/>
  <c r="C31" i="44" s="1"/>
  <c r="K48" i="35"/>
  <c r="L48" i="35" s="1"/>
  <c r="M48" i="35" s="1"/>
  <c r="N48" i="35" s="1"/>
  <c r="O48" i="35" s="1"/>
  <c r="J7" i="35"/>
  <c r="K52" i="37"/>
  <c r="E7" i="67"/>
  <c r="C23" i="15" l="1"/>
  <c r="C29" i="15" s="1"/>
  <c r="C36" i="15" s="1"/>
  <c r="E3" i="67"/>
  <c r="B2" i="46"/>
  <c r="J72" i="39"/>
  <c r="K70" i="39"/>
  <c r="K65" i="40"/>
  <c r="J67" i="40"/>
  <c r="C33" i="15"/>
  <c r="C31" i="15" s="1"/>
  <c r="Q51" i="44"/>
  <c r="J21" i="44"/>
  <c r="J19" i="44" s="1"/>
  <c r="C35" i="44"/>
  <c r="C33" i="44" s="1"/>
  <c r="C38" i="44"/>
  <c r="C15" i="44"/>
  <c r="J16" i="44"/>
  <c r="C22" i="43"/>
  <c r="C21" i="43" s="1"/>
  <c r="C28" i="43" s="1"/>
  <c r="C30" i="43" s="1"/>
  <c r="C32" i="43" s="1"/>
  <c r="B2" i="43" s="1"/>
  <c r="AC7" i="35"/>
  <c r="V38" i="35" s="1"/>
  <c r="I38" i="35" s="1"/>
  <c r="W7" i="35"/>
  <c r="L52" i="37"/>
  <c r="F7" i="35"/>
  <c r="H7" i="35"/>
  <c r="B7" i="67"/>
  <c r="J14" i="15" l="1"/>
  <c r="J13" i="15" s="1"/>
  <c r="J23" i="15" s="1"/>
  <c r="Q50" i="15"/>
  <c r="J59" i="15"/>
  <c r="J60" i="15" s="1"/>
  <c r="Q49" i="15" s="1"/>
  <c r="J19" i="15"/>
  <c r="J17" i="15" s="1"/>
  <c r="C13" i="15"/>
  <c r="J35" i="15" s="1"/>
  <c r="C56" i="15"/>
  <c r="C60" i="15" s="1"/>
  <c r="C58" i="15" s="1"/>
  <c r="B2" i="67"/>
  <c r="B4" i="67" s="1"/>
  <c r="D4" i="46"/>
  <c r="B3" i="46"/>
  <c r="B4" i="46"/>
  <c r="L70" i="39"/>
  <c r="K72" i="39"/>
  <c r="K67" i="40"/>
  <c r="L65" i="40"/>
  <c r="B4" i="43"/>
  <c r="B5" i="43"/>
  <c r="B3" i="43"/>
  <c r="Q72" i="44"/>
  <c r="C39" i="44"/>
  <c r="C32" i="44" s="1"/>
  <c r="C42" i="44" s="1"/>
  <c r="C43" i="44"/>
  <c r="J24" i="44"/>
  <c r="J15" i="44"/>
  <c r="J25" i="44" s="1"/>
  <c r="AB7" i="35"/>
  <c r="T38" i="35" s="1"/>
  <c r="G38" i="35" s="1"/>
  <c r="U7" i="35"/>
  <c r="AA7" i="35"/>
  <c r="R38" i="35" s="1"/>
  <c r="S7" i="35"/>
  <c r="M52" i="37"/>
  <c r="I42" i="35"/>
  <c r="J42" i="35" s="1"/>
  <c r="J22" i="15" l="1"/>
  <c r="J16" i="15" s="1"/>
  <c r="J25" i="15" s="1"/>
  <c r="C37" i="15"/>
  <c r="C30" i="15" s="1"/>
  <c r="C39" i="15" s="1"/>
  <c r="C40" i="15" s="1"/>
  <c r="C43" i="15" s="1"/>
  <c r="C55" i="15"/>
  <c r="C64" i="15" s="1"/>
  <c r="Q71" i="15"/>
  <c r="C63" i="15"/>
  <c r="B3" i="67"/>
  <c r="M65" i="40"/>
  <c r="L67" i="40"/>
  <c r="L72" i="39"/>
  <c r="M70" i="39"/>
  <c r="Q71" i="44"/>
  <c r="Q70" i="44" s="1"/>
  <c r="C44" i="44"/>
  <c r="C45" i="44" s="1"/>
  <c r="B2" i="44" s="1"/>
  <c r="J18" i="44"/>
  <c r="J27" i="44" s="1"/>
  <c r="N52" i="37"/>
  <c r="O52" i="37" s="1"/>
  <c r="F7" i="37"/>
  <c r="R39" i="35"/>
  <c r="E38" i="35"/>
  <c r="G42" i="35"/>
  <c r="H42" i="35" s="1"/>
  <c r="G43" i="35"/>
  <c r="H43" i="35" s="1"/>
  <c r="Q57" i="15" l="1"/>
  <c r="C57" i="15"/>
  <c r="C66" i="15" s="1"/>
  <c r="C67" i="15" s="1"/>
  <c r="C70" i="15" s="1"/>
  <c r="Q66" i="15"/>
  <c r="Q48" i="15"/>
  <c r="Q54" i="15" s="1"/>
  <c r="Q70" i="15"/>
  <c r="Q69" i="15" s="1"/>
  <c r="J42" i="15"/>
  <c r="J43" i="15" s="1"/>
  <c r="J39" i="15"/>
  <c r="J40" i="15" s="1"/>
  <c r="L57" i="15"/>
  <c r="L60" i="15" s="1"/>
  <c r="Q58" i="15" s="1"/>
  <c r="N70" i="39"/>
  <c r="N72" i="39" s="1"/>
  <c r="M72" i="39"/>
  <c r="F9" i="39" s="1"/>
  <c r="J9" i="39"/>
  <c r="H9" i="39"/>
  <c r="N65" i="40"/>
  <c r="N67" i="40" s="1"/>
  <c r="M67" i="40"/>
  <c r="F9" i="40" s="1"/>
  <c r="B3" i="44"/>
  <c r="B5" i="44"/>
  <c r="B4" i="44"/>
  <c r="AA7" i="37"/>
  <c r="R42" i="37" s="1"/>
  <c r="S7" i="37"/>
  <c r="E43" i="35"/>
  <c r="F43" i="35" s="1"/>
  <c r="E42" i="35"/>
  <c r="F42" i="35" s="1"/>
  <c r="I43" i="35"/>
  <c r="J43" i="35" s="1"/>
  <c r="C39" i="35"/>
  <c r="B3" i="35" s="1"/>
  <c r="B2" i="35" s="1"/>
  <c r="C38" i="35"/>
  <c r="H7" i="37"/>
  <c r="J7" i="37"/>
  <c r="L51" i="15"/>
  <c r="Q63" i="15" l="1"/>
  <c r="Q68" i="15"/>
  <c r="C46" i="15"/>
  <c r="L46" i="15"/>
  <c r="B2" i="15" s="1"/>
  <c r="Q67" i="15"/>
  <c r="Q76" i="15" s="1"/>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B3" i="15" l="1"/>
  <c r="D8" i="12" s="1"/>
  <c r="D10" i="12" s="1"/>
  <c r="G54" i="39"/>
  <c r="H54" i="39" s="1"/>
  <c r="G53" i="39"/>
  <c r="H53" i="39" s="1"/>
  <c r="AB9" i="40"/>
  <c r="T44" i="40" s="1"/>
  <c r="G44" i="40" s="1"/>
  <c r="U9" i="40"/>
  <c r="R50" i="39"/>
  <c r="E49" i="39"/>
  <c r="I54" i="39" s="1"/>
  <c r="J54" i="39" s="1"/>
  <c r="AC9" i="40"/>
  <c r="V44" i="40" s="1"/>
  <c r="I44" i="40" s="1"/>
  <c r="I48" i="40" s="1"/>
  <c r="J48" i="40" s="1"/>
  <c r="W9" i="40"/>
  <c r="I53" i="39"/>
  <c r="J53" i="39" s="1"/>
  <c r="R45" i="40"/>
  <c r="E44" i="40"/>
  <c r="C43" i="37"/>
  <c r="B3" i="37" s="1"/>
  <c r="B2" i="37" s="1"/>
  <c r="C42" i="37"/>
  <c r="I46" i="37"/>
  <c r="J46" i="37" s="1"/>
  <c r="I47" i="37"/>
  <c r="J47" i="37" s="1"/>
  <c r="E47" i="37"/>
  <c r="F47" i="37" s="1"/>
  <c r="E46" i="37"/>
  <c r="F46" i="37" s="1"/>
  <c r="G46" i="37"/>
  <c r="H46" i="37" s="1"/>
  <c r="G47" i="37"/>
  <c r="H47" i="37" s="1"/>
  <c r="C6" i="12" l="1"/>
  <c r="C24" i="12" s="1"/>
  <c r="C35" i="12" s="1"/>
  <c r="C33" i="12" s="1"/>
  <c r="I49" i="40"/>
  <c r="J49" i="40" s="1"/>
  <c r="E48" i="40"/>
  <c r="F48" i="40" s="1"/>
  <c r="E49" i="40"/>
  <c r="F49" i="40" s="1"/>
  <c r="E53" i="39"/>
  <c r="F53" i="39" s="1"/>
  <c r="E54" i="39"/>
  <c r="F54" i="39" s="1"/>
  <c r="C44" i="40"/>
  <c r="C45" i="40"/>
  <c r="C50" i="39"/>
  <c r="C49" i="39"/>
  <c r="G49" i="40"/>
  <c r="H49" i="40" s="1"/>
  <c r="G48" i="40"/>
  <c r="H48" i="40" s="1"/>
  <c r="C29" i="12" l="1"/>
  <c r="C28" i="12"/>
  <c r="C26"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F68" i="39" l="1"/>
  <c r="B2" i="39" s="1"/>
  <c r="B5" i="39" s="1"/>
  <c r="C31" i="12"/>
  <c r="C30" i="12" s="1"/>
  <c r="C36" i="12" s="1"/>
  <c r="B2" i="12" s="1"/>
  <c r="B5" i="40"/>
  <c r="B3" i="40"/>
  <c r="B4" i="40"/>
  <c r="C19" i="9"/>
  <c r="D19" i="9"/>
  <c r="B4" i="39" l="1"/>
  <c r="K20" i="9"/>
  <c r="L43" i="9"/>
  <c r="B3" i="39"/>
  <c r="L44" i="9"/>
  <c r="D22" i="9"/>
  <c r="G19" i="9"/>
  <c r="C32" i="9" s="1"/>
  <c r="B3" i="12"/>
  <c r="B5" i="12"/>
  <c r="B4" i="12"/>
  <c r="C20" i="9"/>
  <c r="D21" i="9"/>
  <c r="D20" i="9"/>
  <c r="C21" i="9"/>
  <c r="G22" i="9" l="1"/>
  <c r="N43" i="9"/>
  <c r="G20" i="9"/>
  <c r="G21" i="9"/>
  <c r="C42" i="9"/>
  <c r="O38" i="9"/>
  <c r="C33" i="9"/>
  <c r="O43" i="9"/>
  <c r="C35" i="9"/>
  <c r="F42" i="9" s="1"/>
  <c r="C34" i="9"/>
  <c r="M38" i="9" l="1"/>
  <c r="K27" i="9" s="1"/>
  <c r="E42" i="9"/>
  <c r="P5" i="54" s="1"/>
  <c r="K26" i="9"/>
  <c r="K25" i="9"/>
  <c r="D42" i="9"/>
  <c r="Q5" i="54" s="1"/>
  <c r="N38" i="9"/>
  <c r="K28" i="9" s="1"/>
  <c r="D63" i="9"/>
  <c r="N68" i="9"/>
  <c r="D14" i="66"/>
  <c r="C44" i="9"/>
  <c r="R5" i="54"/>
  <c r="B46" i="63" l="1"/>
  <c r="B48" i="63"/>
  <c r="B47" i="63"/>
  <c r="D44" i="9"/>
  <c r="G14" i="66"/>
  <c r="B6" i="66" s="1"/>
  <c r="E44" i="9"/>
  <c r="N69" i="9"/>
  <c r="F44" i="9"/>
  <c r="O39" i="9"/>
  <c r="C82" i="9"/>
  <c r="C81" i="9" s="1"/>
  <c r="C85" i="9" s="1"/>
  <c r="C86" i="9" s="1"/>
  <c r="D72" i="9" s="1"/>
  <c r="C103" i="9"/>
  <c r="C96" i="9"/>
  <c r="C91" i="9" s="1"/>
  <c r="C90" i="9"/>
  <c r="D70" i="9"/>
  <c r="D71" i="9"/>
  <c r="D66" i="9" s="1"/>
  <c r="N72" i="9" s="1"/>
  <c r="C111" i="9"/>
  <c r="C104" i="9" s="1"/>
  <c r="D77" i="9"/>
  <c r="N75" i="9" s="1"/>
  <c r="E14" i="66"/>
  <c r="B5" i="66"/>
  <c r="F14" i="66"/>
  <c r="C97" i="9" l="1"/>
  <c r="C113" i="9"/>
  <c r="M83" i="9"/>
  <c r="N83" i="9" s="1"/>
  <c r="M87" i="9"/>
  <c r="N87" i="9" s="1"/>
  <c r="M85" i="9"/>
  <c r="N85" i="9" s="1"/>
  <c r="M88" i="9"/>
  <c r="N88" i="9" s="1"/>
  <c r="M86" i="9"/>
  <c r="N86" i="9" s="1"/>
  <c r="M84" i="9"/>
  <c r="N84" i="9" s="1"/>
  <c r="C5" i="66"/>
  <c r="D5" i="66"/>
  <c r="R6" i="54"/>
  <c r="K29" i="9"/>
  <c r="K30" i="9" s="1"/>
  <c r="D6" i="66"/>
  <c r="C6" i="66"/>
  <c r="B50" i="63" l="1"/>
  <c r="N89" i="9"/>
  <c r="O89" i="9" s="1"/>
  <c r="C98" i="9"/>
  <c r="E98" i="9" s="1"/>
  <c r="E99" i="9" s="1"/>
  <c r="C114" i="9"/>
  <c r="E114" i="9" s="1"/>
  <c r="E115"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<sst xmlns="http://schemas.openxmlformats.org/spreadsheetml/2006/main" count="7824" uniqueCount="3238">
  <si>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</si>
  <si>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</si>
  <si>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</si>
  <si>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</si>
  <si>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</si>
  <si>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</si>
  <si>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</si>
  <si>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</si>
  <si>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</si>
  <si>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</si>
  <si>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</si>
  <si>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</si>
  <si>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</si>
  <si>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</si>
  <si>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</si>
  <si>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</si>
  <si>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</si>
  <si>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</si>
  <si>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</si>
  <si>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</si>
  <si>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</si>
  <si>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</si>
  <si>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</si>
  <si>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</si>
  <si>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</si>
  <si>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</si>
  <si>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</si>
  <si>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</si>
  <si>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</si>
  <si>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</si>
  <si>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</si>
  <si>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</si>
  <si>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</si>
  <si>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</si>
  <si>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</si>
  <si>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</si>
  <si>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</si>
  <si>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</si>
  <si>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</si>
  <si>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</si>
  <si>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</si>
  <si>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</si>
  <si>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</si>
  <si>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</si>
  <si>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</si>
  <si>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</si>
  <si>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</si>
  <si>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</si>
  <si>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</si>
  <si>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</si>
  <si>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</si>
  <si>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</si>
  <si>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</si>
  <si>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</si>
  <si>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</si>
  <si>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</si>
  <si>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</si>
  <si>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</si>
  <si>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</si>
  <si>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</si>
  <si>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</si>
  <si>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</si>
  <si>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</si>
  <si>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</si>
  <si>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</si>
  <si>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</si>
  <si>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</si>
  <si>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</si>
  <si>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</si>
  <si>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</si>
  <si>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</si>
  <si>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</si>
  <si>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</si>
  <si>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</si>
  <si>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</si>
  <si>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</si>
  <si>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</si>
  <si>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</si>
  <si>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</si>
  <si>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</si>
  <si>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</si>
  <si>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</si>
  <si>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</si>
  <si>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</si>
  <si>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</si>
  <si>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</si>
  <si>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</si>
  <si>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</si>
  <si>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</si>
  <si>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</si>
  <si>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</si>
  <si>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</si>
  <si>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</si>
  <si>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</si>
  <si>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</si>
  <si>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</si>
  <si>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</si>
  <si>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</si>
  <si>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</si>
  <si>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</si>
  <si>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</si>
  <si>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</si>
  <si>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</si>
  <si>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</si>
  <si>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</si>
  <si>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</si>
  <si>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</si>
  <si>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</si>
  <si>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</si>
  <si>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</si>
  <si>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</si>
  <si>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</si>
  <si>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</si>
  <si>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</si>
  <si>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</si>
  <si>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</si>
  <si>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</si>
  <si>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</si>
  <si>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</si>
  <si>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</si>
  <si>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</si>
  <si>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</si>
  <si>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</si>
  <si>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</si>
  <si>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</si>
  <si>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</si>
  <si>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</si>
  <si>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</si>
  <si>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</si>
  <si>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</si>
  <si>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</si>
  <si>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</si>
  <si>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</si>
  <si>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</si>
  <si>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</si>
  <si>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</si>
  <si>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</si>
  <si>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</si>
  <si>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</si>
  <si>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</si>
  <si>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</si>
  <si>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</si>
  <si>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</si>
  <si>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</si>
  <si>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</si>
  <si>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</si>
  <si>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</si>
  <si>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</si>
  <si>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</si>
  <si>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</si>
  <si>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</si>
  <si>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</si>
  <si>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</si>
  <si>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</si>
  <si>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</si>
  <si>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</si>
  <si>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</si>
  <si>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</si>
  <si>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</si>
  <si>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</si>
  <si>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</si>
  <si>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</si>
  <si>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</si>
  <si>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</si>
  <si>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</si>
  <si>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</si>
  <si>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</si>
  <si>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</si>
  <si>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</si>
  <si>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</si>
  <si>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</si>
  <si>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</si>
  <si>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</si>
  <si>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</si>
  <si>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</si>
  <si>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</si>
  <si>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</si>
  <si>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</si>
  <si>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</si>
  <si>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</si>
  <si>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</si>
  <si>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</si>
  <si>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</si>
  <si>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</si>
  <si>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</si>
  <si>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</si>
  <si>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</si>
  <si>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</si>
  <si>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</si>
  <si>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</si>
  <si>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</si>
  <si>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</si>
  <si>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</si>
  <si>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</si>
  <si>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</si>
  <si>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</si>
  <si>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</si>
  <si>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</si>
  <si>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</si>
  <si>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</si>
  <si>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</si>
  <si>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</si>
  <si>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</si>
  <si>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</si>
  <si>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</si>
  <si>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</si>
  <si>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</si>
  <si>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</si>
  <si>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</si>
  <si>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</si>
  <si>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</si>
  <si>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</si>
  <si>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</si>
  <si>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</si>
  <si>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</si>
  <si>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</si>
  <si>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</si>
  <si>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</si>
  <si>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</si>
  <si>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</si>
  <si>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</si>
  <si>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</si>
  <si>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</si>
  <si>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</si>
  <si>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</si>
  <si>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</si>
  <si>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</si>
  <si>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</si>
  <si>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</si>
  <si>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</si>
  <si>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</si>
  <si>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</si>
  <si>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</si>
  <si>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</si>
  <si>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</si>
  <si>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</si>
  <si>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</si>
  <si>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</si>
  <si>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</si>
  <si>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</si>
  <si>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</si>
  <si>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</si>
  <si>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</si>
  <si>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</si>
  <si>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</si>
  <si>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</si>
  <si>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</si>
  <si>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</si>
  <si>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</si>
  <si>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</si>
  <si>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</si>
  <si>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</si>
  <si>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</si>
  <si>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</si>
  <si>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</si>
  <si>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</si>
  <si>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</si>
  <si>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</si>
  <si>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</si>
  <si>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</si>
  <si>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</si>
  <si>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</si>
  <si>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</si>
  <si>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</si>
  <si>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</si>
  <si>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</si>
  <si>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</si>
  <si>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</si>
  <si>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</si>
  <si>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</si>
  <si>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</si>
  <si>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</si>
  <si>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</si>
  <si>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</si>
  <si>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</si>
  <si>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</si>
  <si>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</si>
  <si>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</si>
  <si>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</si>
  <si>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</si>
  <si>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</si>
  <si>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</si>
  <si>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</si>
  <si>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</si>
  <si>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</si>
  <si>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</si>
  <si>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</si>
  <si>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</si>
  <si>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</si>
  <si>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</si>
  <si>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</si>
  <si>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</si>
  <si>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</si>
  <si>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</si>
  <si>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</si>
  <si>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</si>
  <si>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</si>
  <si>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</si>
  <si>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</si>
  <si>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</si>
  <si>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</si>
  <si>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</si>
  <si>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</si>
  <si>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</si>
  <si>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</si>
  <si>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</si>
  <si>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</si>
  <si>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</si>
  <si>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</si>
  <si>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</si>
  <si>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</si>
  <si>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</si>
  <si>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</si>
  <si>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</si>
  <si>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</si>
  <si>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</si>
  <si>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</si>
  <si>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</si>
  <si>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</si>
  <si>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</si>
  <si>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</si>
  <si>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</si>
  <si>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</si>
  <si>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</si>
  <si>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</si>
  <si>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</si>
  <si>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</si>
  <si>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</si>
  <si>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</si>
  <si>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</si>
  <si>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</si>
  <si>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</si>
  <si>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</si>
  <si>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</si>
  <si>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</si>
  <si>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</si>
  <si>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</si>
  <si>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</si>
  <si>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</si>
  <si>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</si>
  <si>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</si>
  <si>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</si>
  <si>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</si>
  <si>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</si>
  <si>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</si>
  <si>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</si>
  <si>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</si>
  <si>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</si>
  <si>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</si>
  <si>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</si>
  <si>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</si>
  <si>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</si>
  <si>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</si>
  <si>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</si>
  <si>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</si>
  <si>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</si>
  <si>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</si>
  <si>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</si>
  <si>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</si>
  <si>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</si>
  <si>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</si>
  <si>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</si>
  <si>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</si>
  <si>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</si>
  <si>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</si>
  <si>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</si>
  <si>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</si>
  <si>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</si>
  <si>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</si>
  <si>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</si>
  <si>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</si>
  <si>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</si>
  <si>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</si>
  <si>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</si>
  <si>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</si>
  <si>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</si>
  <si>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</si>
  <si>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</si>
  <si>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</si>
  <si>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</si>
  <si>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</si>
  <si>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</si>
  <si>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</si>
  <si>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</si>
  <si>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</si>
  <si>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</si>
  <si>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</si>
  <si>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</si>
  <si>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</si>
  <si>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</si>
  <si>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</si>
  <si>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</si>
  <si>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</si>
  <si>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</si>
  <si>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</si>
  <si>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</si>
  <si>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</si>
  <si>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</si>
  <si>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</si>
  <si>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</si>
  <si>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</si>
  <si>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</si>
  <si>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</si>
  <si>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</si>
  <si>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</si>
  <si>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</si>
  <si>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</si>
  <si>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</si>
  <si>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</si>
  <si>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</si>
  <si>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</si>
  <si>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</si>
  <si>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</si>
  <si>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</si>
  <si>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</si>
  <si>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</si>
  <si>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</si>
  <si>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</si>
  <si>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</si>
  <si>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</si>
  <si>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</si>
  <si>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</si>
  <si>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</si>
  <si>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</si>
  <si>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</si>
  <si>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</si>
  <si>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</si>
  <si>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</si>
  <si>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</si>
  <si>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</si>
  <si>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</si>
  <si>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</si>
  <si>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</si>
  <si>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</si>
  <si>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</si>
  <si>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</si>
  <si>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</si>
  <si>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</si>
  <si>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</si>
  <si>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</si>
  <si>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</si>
  <si>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</si>
  <si>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</si>
  <si>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</si>
  <si>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</si>
  <si>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</si>
  <si>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</si>
  <si>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</si>
  <si>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</si>
  <si>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</si>
  <si>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</si>
  <si>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</si>
  <si>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</si>
  <si>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</si>
  <si>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</si>
  <si>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</si>
  <si>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</si>
  <si>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</si>
  <si>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</si>
  <si>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</si>
  <si>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</si>
  <si>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</si>
  <si>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</si>
  <si>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</si>
  <si>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</si>
  <si>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</si>
  <si>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</si>
  <si>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</si>
  <si>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</si>
  <si>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</si>
  <si>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</si>
  <si>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</si>
  <si>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</si>
  <si>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</si>
  <si>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</si>
  <si>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</si>
  <si>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</si>
  <si>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</si>
  <si>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</si>
  <si>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</si>
  <si>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</si>
  <si>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</si>
  <si>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</si>
  <si>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</si>
  <si>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</si>
  <si>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</si>
  <si>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</si>
  <si>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</si>
  <si>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</si>
  <si>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</si>
  <si>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</si>
  <si>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</si>
  <si>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</si>
  <si>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</si>
  <si>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</si>
  <si>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</si>
  <si>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</si>
  <si>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</si>
  <si>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</si>
  <si>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</si>
  <si>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</si>
  <si>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</si>
  <si>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</si>
  <si>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</si>
  <si>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</si>
  <si>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</si>
  <si>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</si>
  <si>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</si>
  <si>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</si>
  <si>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</si>
  <si>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</si>
  <si>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</si>
  <si>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</si>
  <si>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</si>
  <si>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</si>
  <si>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</si>
  <si>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</si>
  <si>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</si>
  <si>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</si>
  <si>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</si>
  <si>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</si>
  <si>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</si>
  <si>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</si>
  <si>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</si>
  <si>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</si>
  <si>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</si>
  <si>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</si>
  <si>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</si>
  <si>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</si>
  <si>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</si>
  <si>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</si>
  <si>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</si>
  <si>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</si>
  <si>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</si>
  <si>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</si>
  <si>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</si>
  <si>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</si>
  <si>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</si>
  <si>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</si>
  <si>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</si>
  <si>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</si>
  <si>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</si>
  <si>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</si>
  <si>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</si>
  <si>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</si>
  <si>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</si>
  <si>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</si>
  <si>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</si>
  <si>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</si>
  <si>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</si>
  <si>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</si>
  <si>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</si>
  <si>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</si>
  <si>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</si>
  <si>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</si>
  <si>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</si>
  <si>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</si>
  <si>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</si>
  <si>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</si>
  <si>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</si>
  <si>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</si>
  <si>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</si>
  <si>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</si>
  <si>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</si>
  <si>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</si>
  <si>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</si>
  <si>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</si>
  <si>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</si>
  <si>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</si>
  <si>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</si>
  <si>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</si>
  <si>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</si>
  <si>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</si>
  <si>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</si>
  <si>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</si>
  <si>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</si>
  <si>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</si>
  <si>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</si>
  <si>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</si>
  <si>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</si>
  <si>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</si>
  <si>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</si>
  <si>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</si>
  <si>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</si>
  <si>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</si>
  <si>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</si>
  <si>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</si>
  <si>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</si>
  <si>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</si>
  <si>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</si>
  <si>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</si>
  <si>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</si>
  <si>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</si>
  <si>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</si>
  <si>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</si>
  <si>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</si>
  <si>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</si>
  <si>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</si>
  <si>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</si>
  <si>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</si>
  <si>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</si>
  <si>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</si>
  <si>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</si>
  <si>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</si>
  <si>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</si>
  <si>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</si>
  <si>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</si>
  <si>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</si>
  <si>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</si>
  <si>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</si>
  <si>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</si>
  <si>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</si>
  <si>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</si>
  <si>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</si>
  <si>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</si>
  <si>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</si>
  <si>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</si>
  <si>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</si>
  <si>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</si>
  <si>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</si>
  <si>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</si>
  <si>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</si>
  <si>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</si>
  <si>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</si>
  <si>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</si>
  <si>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</si>
  <si>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</si>
  <si>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</si>
  <si>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</si>
  <si>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</si>
  <si>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</si>
  <si>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</si>
  <si>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</si>
  <si>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</si>
  <si>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</si>
  <si>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</si>
  <si>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</si>
  <si>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</si>
  <si>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</si>
  <si>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</si>
  <si>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</si>
  <si>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</si>
  <si>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</si>
  <si>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</si>
  <si>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</si>
  <si>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</si>
  <si>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</si>
  <si>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</si>
  <si>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</si>
  <si>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</si>
  <si>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</si>
  <si>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</si>
  <si>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</si>
  <si>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</si>
  <si>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</si>
  <si>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</si>
  <si>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</si>
  <si>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</si>
  <si>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</si>
  <si>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</si>
  <si>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</si>
  <si>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</si>
  <si>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</si>
  <si>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</si>
  <si>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</si>
  <si>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</si>
  <si>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</si>
  <si>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</si>
  <si>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</si>
  <si>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</si>
  <si>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</si>
  <si>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</si>
  <si>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</si>
  <si>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</si>
  <si>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</si>
  <si>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</si>
  <si>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</si>
  <si>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</si>
  <si>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</si>
  <si>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</si>
  <si>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</si>
  <si>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</si>
  <si>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</si>
  <si>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</si>
  <si>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</si>
  <si>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</si>
  <si>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</si>
  <si>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</si>
  <si>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</si>
  <si>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</si>
  <si>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</si>
  <si>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</si>
  <si>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</si>
  <si>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</si>
  <si>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</si>
  <si>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</si>
  <si>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</si>
  <si>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</si>
  <si>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</si>
  <si>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</si>
  <si>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</si>
  <si>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</si>
  <si>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</si>
  <si>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</si>
  <si>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</si>
  <si>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</si>
  <si>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</si>
  <si>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</si>
  <si>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</si>
  <si>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</si>
  <si>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</si>
  <si>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</si>
  <si>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</si>
  <si>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</si>
  <si>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</si>
  <si>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</si>
  <si>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</si>
  <si>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</si>
  <si>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</si>
  <si>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</si>
  <si>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</si>
  <si>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</si>
  <si>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</si>
  <si>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</si>
  <si>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</si>
  <si>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</si>
  <si>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</si>
  <si>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</si>
  <si>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</si>
  <si>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</si>
  <si>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</si>
  <si>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</si>
  <si>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</si>
  <si>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</si>
  <si>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</si>
  <si>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</si>
  <si>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</si>
  <si>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</si>
  <si>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</si>
  <si>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</si>
  <si>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</si>
  <si>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</si>
  <si>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</si>
  <si>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</si>
  <si>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</si>
  <si>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</si>
  <si>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</si>
  <si>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</si>
  <si>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</si>
  <si>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</si>
  <si>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</si>
  <si>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</si>
  <si>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</si>
  <si>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</si>
  <si>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</si>
  <si>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</si>
  <si>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</si>
  <si>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</si>
  <si>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</si>
  <si>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</si>
  <si>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</si>
  <si>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</si>
  <si>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</si>
  <si>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</si>
  <si>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</si>
  <si>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</si>
  <si>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</si>
  <si>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</si>
  <si>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</si>
  <si>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</si>
  <si>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</si>
  <si>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</si>
  <si>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</si>
  <si>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</si>
  <si>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</si>
  <si>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</si>
  <si>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</si>
  <si>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</si>
  <si>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</si>
  <si>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</si>
  <si>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</si>
  <si>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</si>
  <si>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</si>
  <si>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</si>
  <si>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</si>
  <si>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</si>
  <si>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</si>
  <si>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</si>
  <si>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</si>
  <si>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</si>
  <si>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</si>
  <si>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</si>
  <si>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</si>
  <si>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</si>
  <si>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</si>
  <si>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</si>
  <si>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</si>
  <si>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</si>
  <si>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</si>
  <si>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</si>
  <si>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</si>
  <si>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</si>
  <si>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</si>
  <si>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</si>
  <si>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</si>
  <si>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</si>
  <si>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</si>
  <si>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</si>
  <si>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</si>
  <si>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</si>
  <si>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</si>
  <si>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</si>
  <si>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</si>
  <si>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</si>
  <si>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</si>
  <si>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</si>
  <si>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</si>
  <si>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</si>
  <si>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</si>
  <si>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</si>
  <si>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</si>
  <si>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</si>
  <si>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</si>
  <si>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</si>
  <si>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</si>
  <si>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</si>
  <si>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</si>
  <si>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</si>
  <si>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</si>
  <si>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</si>
  <si>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</si>
  <si>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</si>
  <si>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</si>
  <si>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</si>
  <si>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</si>
  <si>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</si>
  <si>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</si>
  <si>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</si>
  <si>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</si>
  <si>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</si>
  <si>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</si>
  <si>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</si>
  <si>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</si>
  <si>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</si>
  <si>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</si>
  <si>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</si>
  <si>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</si>
  <si>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</si>
  <si>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</si>
  <si>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</si>
  <si>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</si>
  <si>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</si>
  <si>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</si>
  <si>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</si>
  <si>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</si>
  <si>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</si>
  <si>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</si>
  <si>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</si>
  <si>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</si>
  <si>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</si>
  <si>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</si>
  <si>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</si>
  <si>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</si>
  <si>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</si>
  <si>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</si>
  <si>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</si>
  <si>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</si>
  <si>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</si>
  <si>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</si>
  <si>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</si>
  <si>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</si>
  <si>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</si>
  <si>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</si>
  <si>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</si>
  <si>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</si>
  <si>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</si>
  <si>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</si>
  <si>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</si>
  <si>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</si>
  <si>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</si>
  <si>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</si>
  <si>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</si>
  <si>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</si>
  <si>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</si>
  <si>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</si>
  <si>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</si>
  <si>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</si>
  <si>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</si>
  <si>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</si>
  <si>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</si>
  <si>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</si>
  <si>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</si>
  <si>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</si>
  <si>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</si>
  <si>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</si>
  <si>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</si>
  <si>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</si>
  <si>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</si>
  <si>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</si>
  <si>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</si>
  <si>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</si>
  <si>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</si>
  <si>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</si>
  <si>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</si>
  <si>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</si>
  <si>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</si>
  <si>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</si>
  <si>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</si>
  <si>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</si>
  <si>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</si>
  <si>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</si>
  <si>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</si>
  <si>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</si>
  <si>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</si>
  <si>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</si>
  <si>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</si>
  <si>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</si>
  <si>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</si>
  <si>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</si>
  <si>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</si>
  <si>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</si>
  <si>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</si>
  <si>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</si>
  <si>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</si>
  <si>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</si>
  <si>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</si>
  <si>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</si>
  <si>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</si>
  <si>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</si>
  <si>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</si>
  <si>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</si>
  <si>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</si>
  <si>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</si>
  <si>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</si>
  <si>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</si>
  <si>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</si>
  <si>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</si>
  <si>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</si>
  <si>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</si>
  <si>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</si>
  <si>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</si>
  <si>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</si>
  <si>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</si>
  <si>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</si>
  <si>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</si>
  <si>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</si>
  <si>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</si>
  <si>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</si>
  <si>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</si>
  <si>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</si>
  <si>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</si>
  <si>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</si>
  <si>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</si>
  <si>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</si>
  <si>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</si>
  <si>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</si>
  <si>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</si>
  <si>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</si>
  <si>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</si>
  <si>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</si>
  <si>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</si>
  <si>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</si>
  <si>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</si>
  <si>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</si>
  <si>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</si>
  <si>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</si>
  <si>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</si>
  <si>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</si>
  <si>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</si>
  <si>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</si>
  <si>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</si>
  <si>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</si>
  <si>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</si>
  <si>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</si>
  <si>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</si>
  <si>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</si>
  <si>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</si>
  <si>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</si>
  <si>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</si>
  <si>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</si>
  <si>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</si>
  <si>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</si>
  <si>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</si>
  <si>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</si>
  <si>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</si>
  <si>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</si>
  <si>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</si>
  <si>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</si>
  <si>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</si>
  <si>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</si>
  <si>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</si>
  <si>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</si>
  <si>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</si>
  <si>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</si>
  <si>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</si>
  <si>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</si>
  <si>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</si>
  <si>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</si>
  <si>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</si>
  <si>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</si>
  <si>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</si>
  <si>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</si>
  <si>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</si>
  <si>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</si>
  <si>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</si>
  <si>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</si>
  <si>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</si>
  <si>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</si>
  <si>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</si>
  <si>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</si>
  <si>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</si>
  <si>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</si>
  <si>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</si>
  <si>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</si>
  <si>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</si>
  <si>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</si>
  <si>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</si>
  <si>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</si>
  <si>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</si>
  <si>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</si>
  <si>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</si>
  <si>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</si>
  <si>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</si>
  <si>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</si>
  <si>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</si>
  <si>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</si>
  <si>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</si>
  <si>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</si>
  <si>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</si>
  <si>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</si>
  <si>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</si>
  <si>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</si>
  <si>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</si>
  <si>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</si>
  <si>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</si>
  <si>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</si>
  <si>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</si>
  <si>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</si>
  <si>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</si>
  <si>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</si>
  <si>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</si>
  <si>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</si>
  <si>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</si>
  <si>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</si>
  <si>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</si>
  <si>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</si>
  <si>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</si>
  <si>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</si>
  <si>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</si>
  <si>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</si>
  <si>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</si>
  <si>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</si>
  <si>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</si>
  <si>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</si>
  <si>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</si>
  <si>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</si>
  <si>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</si>
  <si>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</si>
  <si>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</si>
  <si>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</si>
  <si>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</si>
  <si>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</si>
  <si>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</si>
  <si>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</si>
  <si>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</si>
  <si>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</si>
  <si>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</si>
  <si>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</si>
  <si>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</si>
  <si>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</si>
  <si>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</si>
  <si>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</si>
  <si>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</si>
  <si>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</si>
  <si>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</si>
  <si>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</si>
  <si>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</si>
  <si>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</si>
  <si>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</si>
  <si>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</si>
  <si>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</si>
  <si>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</si>
  <si>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</si>
  <si>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</si>
  <si>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</si>
  <si>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</si>
  <si>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</si>
  <si>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</si>
  <si>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</si>
  <si>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</si>
  <si>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</si>
  <si>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</si>
  <si>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</si>
  <si>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</si>
  <si>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</si>
  <si>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</si>
  <si>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</si>
  <si>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</si>
  <si>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</si>
  <si>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</si>
  <si>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</si>
  <si>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</si>
  <si>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</si>
  <si>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</si>
  <si>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</si>
  <si>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</si>
  <si>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</si>
  <si>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</si>
  <si>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</si>
  <si>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</si>
  <si>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</si>
  <si>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</si>
  <si>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</si>
  <si>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</si>
  <si>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</si>
  <si>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</si>
  <si>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</si>
  <si>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</si>
  <si>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</si>
  <si>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</si>
  <si>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</si>
  <si>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</si>
  <si>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</si>
  <si>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</si>
  <si>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</si>
  <si>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</si>
  <si>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</si>
  <si>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</si>
  <si>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</si>
  <si>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</si>
  <si>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</si>
  <si>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</si>
  <si>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</si>
  <si>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</si>
  <si>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</si>
  <si>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</si>
  <si>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</si>
  <si>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</si>
  <si>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</si>
  <si>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</si>
  <si>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</si>
  <si>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</si>
  <si>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</si>
  <si>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</si>
  <si>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</si>
  <si>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</si>
  <si>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</si>
  <si>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</si>
  <si>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</si>
  <si>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</si>
  <si>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</si>
  <si>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</si>
  <si>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</si>
  <si>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</si>
  <si>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</si>
  <si>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</si>
  <si>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</si>
  <si>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</si>
  <si>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</si>
  <si>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</si>
  <si>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</si>
  <si>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</si>
  <si>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</si>
  <si>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</si>
  <si>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</si>
  <si>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</si>
  <si>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</si>
  <si>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</si>
  <si>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</si>
  <si>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</si>
  <si>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</si>
  <si>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</si>
  <si>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</si>
  <si>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</si>
  <si>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</si>
  <si>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</si>
  <si>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</si>
  <si>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</si>
  <si>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</si>
  <si>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</si>
  <si>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</si>
  <si>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</si>
  <si>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</si>
  <si>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</si>
  <si>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</si>
  <si>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</si>
  <si>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</si>
  <si>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</si>
  <si>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</si>
  <si>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</si>
  <si>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</si>
  <si>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</si>
  <si>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</si>
  <si>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</si>
  <si>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</si>
  <si>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</si>
  <si>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</si>
  <si>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</si>
  <si>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</si>
  <si>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</si>
  <si>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</si>
  <si>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</si>
  <si>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</si>
  <si>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</si>
  <si>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</si>
  <si>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</si>
  <si>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</si>
  <si>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</si>
  <si>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</si>
  <si>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</si>
  <si>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</si>
  <si>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</si>
  <si>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</si>
  <si>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</si>
  <si>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</si>
  <si>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</si>
  <si>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</si>
  <si>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</si>
  <si>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</si>
  <si>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</si>
  <si>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</si>
  <si>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</si>
  <si>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</si>
  <si>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</si>
  <si>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</si>
  <si>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</si>
  <si>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</si>
  <si>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</si>
  <si>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</si>
  <si>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</si>
  <si>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</si>
  <si>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</si>
  <si>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</si>
  <si>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</si>
  <si>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</si>
  <si>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</si>
  <si>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</si>
  <si>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</si>
  <si>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</si>
  <si>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</si>
  <si>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</si>
  <si>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</si>
  <si>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</si>
  <si>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</si>
  <si>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</si>
  <si>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</si>
  <si>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</si>
  <si>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</si>
  <si>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</si>
  <si>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</si>
  <si>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</si>
  <si>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</si>
  <si>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</si>
  <si>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</si>
  <si>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</si>
  <si>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</si>
  <si>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</si>
  <si>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</si>
  <si>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</si>
  <si>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</si>
  <si>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</si>
  <si>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</si>
  <si>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</si>
  <si>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</si>
  <si>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</si>
  <si>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</si>
  <si>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</si>
  <si>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</si>
  <si>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</si>
  <si>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</si>
  <si>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</si>
  <si>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</si>
  <si>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</si>
  <si>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</si>
  <si>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</si>
  <si>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</si>
  <si>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</si>
  <si>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</si>
  <si>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</si>
  <si>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</si>
  <si>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</si>
  <si>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</si>
  <si>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</si>
  <si>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</si>
  <si>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</si>
  <si>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</si>
  <si>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</si>
  <si>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</si>
  <si>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</si>
  <si>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</si>
  <si>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</si>
  <si>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</si>
  <si>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</si>
  <si>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</si>
  <si>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</si>
  <si>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</si>
  <si>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</si>
  <si>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</si>
  <si>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</si>
  <si>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</si>
  <si>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</si>
  <si>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</si>
  <si>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</si>
  <si>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</si>
  <si>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</si>
  <si>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</si>
  <si>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</si>
  <si>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</si>
  <si>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</si>
  <si>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</si>
  <si>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</si>
  <si>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</si>
  <si>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</si>
  <si>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</si>
  <si>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</si>
  <si>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</si>
  <si>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</si>
  <si>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</si>
  <si>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</si>
  <si>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</si>
  <si>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</si>
  <si>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</si>
  <si>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</si>
  <si>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</si>
  <si>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</si>
  <si>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</si>
  <si>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</si>
  <si>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</si>
  <si>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</si>
  <si>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</si>
  <si>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</si>
  <si>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</si>
  <si>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</si>
  <si>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</si>
  <si>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</si>
  <si>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</si>
  <si>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</si>
  <si>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</si>
  <si>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</si>
  <si>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</si>
  <si>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</si>
  <si>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</si>
  <si>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</si>
  <si>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</si>
  <si>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</si>
  <si>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</si>
  <si>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</si>
  <si>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</si>
  <si>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</si>
  <si>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</si>
  <si>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</si>
  <si>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</si>
  <si>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</si>
  <si>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</si>
  <si>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</si>
  <si>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</si>
  <si>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</si>
  <si>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</si>
  <si>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</si>
  <si>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</si>
  <si>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</si>
  <si>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</si>
  <si>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</si>
  <si>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</si>
  <si>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</si>
  <si>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</si>
  <si>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</si>
  <si>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</si>
  <si>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</si>
  <si>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</si>
  <si>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</si>
  <si>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</si>
  <si>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</si>
  <si>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</si>
  <si>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</si>
  <si>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</si>
  <si>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</si>
  <si>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</si>
  <si>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</si>
  <si>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</si>
  <si>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</si>
  <si>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</si>
  <si>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</si>
  <si>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</si>
  <si>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</si>
  <si>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</si>
  <si>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</si>
  <si>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</si>
  <si>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</si>
  <si>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</si>
  <si>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</si>
  <si>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</si>
  <si>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</si>
  <si>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</si>
  <si>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</si>
  <si>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</si>
  <si>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</si>
  <si>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</si>
  <si>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</si>
  <si>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</si>
  <si>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</si>
  <si>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</si>
  <si>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</si>
  <si>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</si>
  <si>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</si>
  <si>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</si>
  <si>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</si>
  <si>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</si>
  <si>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</si>
  <si>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</si>
  <si>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</si>
  <si>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</si>
  <si>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</si>
  <si>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</si>
  <si>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</si>
  <si>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</si>
  <si>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</si>
  <si>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</si>
  <si>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</si>
  <si>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</si>
  <si>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</si>
  <si>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</si>
  <si>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</si>
  <si>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</si>
  <si>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</si>
  <si>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</si>
  <si>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</si>
  <si>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</si>
  <si>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</si>
  <si>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</si>
  <si>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</si>
  <si>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</si>
  <si>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</si>
  <si>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</si>
  <si>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</si>
  <si>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</si>
  <si>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</si>
  <si>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</si>
  <si>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</si>
  <si>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</si>
  <si>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</si>
  <si>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</si>
  <si>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</si>
  <si>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</si>
  <si>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</si>
  <si>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</si>
  <si>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</si>
  <si>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</si>
  <si>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</si>
  <si>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</si>
  <si>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</si>
  <si>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</si>
  <si>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</si>
  <si>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</si>
  <si>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</si>
  <si>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</si>
  <si>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</si>
  <si>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</si>
  <si>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</si>
  <si>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</si>
  <si>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</si>
  <si>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</si>
  <si>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</si>
  <si>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</si>
  <si>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</si>
  <si>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</si>
  <si>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</si>
  <si>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</si>
  <si>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</si>
  <si>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</si>
  <si>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</si>
  <si>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</si>
  <si>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</si>
  <si>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</si>
  <si>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</si>
  <si>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</si>
  <si>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</si>
  <si>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</si>
  <si>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</si>
  <si>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</si>
  <si>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</si>
  <si>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</si>
  <si>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</si>
  <si>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</si>
  <si>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</si>
  <si>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</si>
  <si>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</si>
  <si>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</si>
  <si>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</si>
  <si>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</si>
  <si>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</si>
  <si>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</si>
  <si>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</si>
  <si>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</si>
  <si>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</si>
  <si>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</si>
  <si>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</si>
  <si>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</si>
  <si>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</si>
  <si>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</si>
  <si>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</si>
  <si>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</si>
  <si>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</si>
  <si>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</si>
  <si>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</si>
  <si>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</si>
  <si>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</si>
  <si>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</si>
  <si>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</si>
  <si>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</si>
  <si>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</si>
  <si>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</si>
  <si>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</si>
  <si>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</si>
  <si>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</si>
  <si>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</si>
  <si>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</si>
  <si>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</si>
  <si>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</si>
  <si>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</si>
  <si>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</si>
  <si>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</si>
  <si>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</si>
  <si>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</si>
  <si>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</si>
  <si>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</si>
  <si>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</si>
  <si>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</si>
  <si>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</si>
  <si>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</si>
  <si>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</si>
  <si>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</si>
  <si>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</si>
  <si>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</si>
  <si>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</si>
  <si>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</si>
  <si>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</si>
  <si>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</si>
  <si>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</si>
  <si>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</si>
  <si>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</si>
  <si>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</si>
  <si>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</si>
  <si>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</si>
  <si>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</si>
  <si>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</si>
  <si>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</si>
  <si>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</si>
  <si>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</si>
  <si>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</si>
  <si>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</si>
  <si>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</si>
  <si>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</si>
  <si>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</si>
  <si>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</si>
  <si>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</si>
  <si>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</si>
  <si>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</si>
  <si>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</si>
  <si>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</si>
  <si>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</si>
  <si>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</si>
  <si>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</si>
  <si>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</si>
  <si>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</si>
  <si>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</si>
  <si>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</si>
  <si>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</si>
  <si>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</si>
  <si>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</si>
  <si>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</si>
  <si>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</si>
  <si>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</si>
  <si>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</si>
  <si>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</si>
  <si>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</si>
  <si>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</si>
  <si>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</si>
  <si>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</si>
  <si>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</si>
  <si>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</si>
  <si>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</si>
  <si>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</si>
  <si>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</si>
  <si>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</si>
  <si>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</si>
  <si>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</si>
  <si>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</si>
  <si>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</si>
  <si>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</si>
  <si>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</si>
  <si>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</si>
  <si>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</si>
  <si>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</si>
  <si>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</si>
  <si>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</si>
  <si>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</si>
  <si>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</si>
  <si>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</si>
  <si>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</si>
  <si>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</si>
  <si>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</si>
  <si>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</si>
  <si>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</si>
  <si>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</si>
  <si>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</si>
  <si>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</si>
  <si>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</si>
  <si>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</si>
  <si>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</si>
  <si>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</si>
  <si>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</si>
  <si>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</si>
  <si>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</si>
  <si>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</si>
  <si>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</si>
  <si>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</si>
  <si>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</si>
  <si>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</si>
  <si>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</si>
  <si>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</si>
  <si>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</si>
  <si>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</si>
  <si>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</si>
  <si>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</si>
  <si>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</si>
  <si>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</si>
  <si>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</si>
  <si>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</si>
  <si>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</si>
  <si>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</si>
  <si>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</si>
  <si>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</si>
  <si>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</si>
  <si>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</si>
  <si>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</si>
  <si>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</si>
  <si>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</si>
  <si>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</si>
  <si>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</si>
  <si>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</si>
  <si>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</si>
  <si>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</si>
  <si>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</si>
  <si>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</si>
  <si>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</si>
  <si>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</si>
  <si>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</si>
  <si>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</si>
  <si>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</si>
  <si>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</si>
  <si>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</si>
  <si>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</si>
  <si>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</si>
  <si>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</si>
  <si>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</si>
  <si>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</si>
  <si>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</si>
  <si>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</si>
  <si>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</si>
  <si>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</si>
  <si>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</si>
  <si>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</si>
  <si>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</si>
  <si>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</si>
  <si>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</si>
  <si>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</si>
  <si>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</si>
  <si>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</si>
  <si>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</si>
  <si>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</si>
  <si>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</si>
  <si>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</si>
  <si>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</si>
  <si>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</si>
  <si>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</si>
  <si>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</si>
  <si>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</si>
  <si>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</si>
  <si>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</si>
  <si>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</si>
  <si>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</si>
  <si>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</si>
  <si>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</si>
  <si>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</si>
  <si>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</si>
  <si>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</si>
  <si>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</si>
  <si>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</si>
  <si>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</si>
  <si>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</si>
  <si>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</si>
  <si>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</si>
  <si>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</si>
  <si>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</si>
  <si>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</si>
  <si>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</si>
  <si>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</si>
  <si>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</si>
  <si>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</si>
  <si>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</si>
  <si>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</si>
  <si>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</si>
  <si>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</si>
  <si>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</si>
  <si>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</si>
  <si>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</si>
  <si>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</si>
  <si>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</si>
  <si>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</si>
  <si>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</si>
  <si>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</si>
  <si>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</si>
  <si>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</si>
  <si>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</si>
  <si>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</si>
  <si>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</si>
  <si>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</si>
  <si>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</si>
  <si>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</si>
  <si>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</si>
  <si>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</si>
  <si>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</si>
  <si>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</si>
  <si>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</si>
  <si>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</si>
  <si>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</si>
  <si>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</si>
  <si>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</si>
  <si>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</si>
  <si>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</si>
  <si>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</si>
  <si>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</si>
  <si>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</si>
  <si>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</si>
  <si>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</si>
  <si>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</si>
  <si>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</si>
  <si>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</si>
  <si>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</si>
  <si>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</si>
  <si>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</si>
  <si>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</si>
  <si>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</si>
  <si>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</si>
  <si>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</si>
  <si>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</si>
  <si>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</si>
  <si>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</si>
  <si>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</si>
  <si>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</si>
  <si>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</si>
  <si>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</si>
  <si>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</si>
  <si>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</si>
  <si>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</si>
  <si>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</si>
  <si>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</si>
  <si>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</si>
  <si>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</si>
  <si>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</si>
  <si>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</si>
  <si>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</si>
  <si>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</si>
  <si>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</si>
  <si>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</si>
  <si>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</si>
  <si>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</si>
  <si>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</si>
  <si>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</si>
  <si>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</si>
  <si>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</si>
  <si>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</si>
  <si>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</si>
  <si>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</si>
  <si>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</si>
  <si>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</si>
  <si>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</si>
  <si>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</si>
  <si>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</si>
  <si>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</si>
  <si>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</si>
  <si>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</si>
  <si>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</si>
  <si>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</si>
  <si>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</si>
  <si>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</si>
  <si>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</si>
  <si>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</si>
  <si>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</si>
  <si>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</si>
  <si>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</si>
  <si>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</si>
  <si>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</si>
  <si>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</si>
  <si>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</si>
  <si>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</si>
  <si>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</si>
  <si>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</si>
  <si>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</si>
  <si>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</si>
  <si>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</si>
  <si>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</si>
  <si>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</si>
  <si>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</si>
  <si>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</si>
  <si>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</si>
  <si>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</si>
  <si>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</si>
  <si>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</si>
  <si>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</si>
  <si>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</si>
  <si>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</si>
  <si>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</si>
  <si>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</si>
  <si>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</si>
  <si>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</si>
  <si>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</si>
  <si>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</si>
  <si>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</si>
  <si>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</si>
  <si>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</si>
  <si>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</si>
  <si>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</si>
  <si>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</si>
  <si>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</si>
  <si>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</si>
  <si>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</si>
  <si>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</si>
  <si>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</si>
  <si>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</si>
  <si>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</si>
  <si>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</si>
  <si>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</si>
  <si>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</si>
  <si>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</si>
  <si>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</si>
  <si>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</si>
  <si>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</si>
  <si>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</si>
  <si>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</si>
  <si>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</si>
  <si>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</si>
  <si>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</si>
  <si>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</si>
  <si>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</si>
  <si>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</si>
  <si>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</si>
  <si>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</si>
  <si>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</si>
  <si>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</si>
  <si>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</si>
  <si>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</si>
  <si>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</si>
  <si>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</si>
  <si>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</si>
  <si>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</si>
  <si>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</si>
  <si>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</si>
  <si>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</si>
  <si>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</si>
  <si>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</si>
  <si>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</si>
  <si>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</si>
  <si>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</si>
  <si>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</si>
  <si>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</si>
  <si>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</si>
  <si>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</si>
  <si>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</si>
  <si>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</si>
  <si>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</si>
  <si>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</si>
  <si>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</si>
  <si>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</si>
  <si>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</si>
  <si>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</si>
  <si>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</si>
  <si>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</si>
  <si>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</si>
  <si>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</si>
  <si>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</si>
  <si>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</si>
  <si>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</si>
  <si>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</si>
  <si>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</si>
  <si>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</si>
  <si>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</si>
  <si>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</si>
  <si>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</si>
  <si>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</si>
  <si>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</si>
  <si>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</si>
  <si>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</si>
  <si>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</si>
  <si>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</si>
  <si>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</si>
  <si>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</si>
  <si>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</si>
  <si>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</si>
  <si>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</si>
  <si>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</si>
  <si>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</si>
  <si>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</si>
  <si>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</si>
  <si>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</si>
  <si>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</si>
  <si>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</si>
  <si>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</si>
  <si>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</si>
  <si>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</si>
  <si>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</si>
  <si>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</si>
  <si>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</si>
  <si>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</si>
  <si>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</si>
  <si>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</si>
  <si>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</si>
  <si>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</si>
  <si>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</si>
  <si>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</si>
  <si>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</si>
  <si>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</si>
  <si>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</si>
  <si>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</si>
  <si>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</si>
  <si>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</si>
  <si>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</si>
  <si>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</si>
  <si>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</si>
  <si>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</si>
  <si>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</si>
  <si>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</si>
  <si>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</si>
  <si>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</si>
  <si>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</si>
  <si>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</si>
  <si>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</si>
  <si>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</si>
  <si>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</si>
  <si>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</si>
  <si>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</si>
  <si>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</si>
  <si>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</si>
  <si>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</si>
  <si>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</si>
  <si>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</si>
  <si>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</si>
  <si>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</si>
  <si>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</si>
  <si>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</si>
  <si>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</si>
  <si>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</si>
  <si>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</si>
  <si>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</si>
  <si>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</si>
  <si>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</si>
  <si>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</si>
  <si>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</si>
  <si>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</si>
  <si>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</si>
  <si>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</si>
  <si>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</si>
  <si>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</si>
  <si>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</si>
  <si>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</si>
  <si>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</si>
  <si>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</si>
  <si>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</si>
  <si>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</si>
  <si>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</si>
  <si>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</si>
  <si>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</si>
  <si>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</si>
  <si>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</si>
  <si>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</si>
  <si>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</si>
  <si>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</si>
  <si>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</si>
  <si>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</si>
  <si>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</si>
  <si>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</si>
  <si>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</si>
  <si>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</si>
  <si>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</si>
  <si>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</si>
  <si>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</si>
  <si>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</si>
  <si>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</si>
  <si>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</si>
  <si>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</si>
  <si>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</si>
  <si>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</si>
  <si>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</si>
  <si>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</si>
  <si>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</si>
  <si>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</si>
  <si>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</si>
  <si>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</si>
  <si>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</si>
  <si>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</si>
  <si>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</si>
  <si>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</si>
  <si>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</si>
  <si>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</si>
  <si>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</si>
  <si>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</si>
  <si>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</si>
  <si>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</si>
  <si>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</si>
  <si>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</si>
  <si>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</si>
  <si>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</si>
  <si>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</si>
  <si>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</si>
  <si>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</si>
  <si>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</si>
  <si>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</si>
  <si>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</si>
  <si>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</si>
  <si>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</si>
  <si>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</si>
  <si>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</si>
  <si>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</si>
  <si>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</si>
  <si>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</si>
  <si>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</si>
  <si>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</si>
  <si>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</si>
  <si>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</si>
  <si>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</si>
  <si>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</si>
  <si>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</si>
  <si>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</si>
  <si>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</si>
  <si>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</si>
  <si>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</si>
  <si>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</si>
  <si>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</si>
  <si>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</si>
  <si>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</si>
  <si>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</si>
  <si>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</si>
  <si>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</si>
  <si>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</si>
  <si>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</si>
  <si>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</si>
  <si>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</si>
  <si>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</si>
  <si>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</si>
  <si>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</si>
  <si>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</si>
  <si>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</si>
  <si>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</si>
  <si>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</si>
  <si>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</si>
  <si>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</si>
  <si>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</si>
  <si>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</si>
  <si>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</si>
  <si>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</si>
  <si>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</si>
  <si>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</si>
  <si>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</si>
  <si>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</si>
  <si>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</si>
  <si>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</si>
  <si>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</si>
  <si>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</si>
  <si>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</si>
  <si>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</si>
  <si>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</si>
  <si>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</si>
  <si>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</si>
  <si>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</si>
  <si>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</si>
  <si>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</si>
  <si>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</si>
  <si>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</si>
  <si>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</si>
  <si>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</si>
  <si>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</si>
  <si>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</si>
  <si>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</si>
  <si>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</si>
  <si>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</si>
  <si>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</si>
  <si>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</si>
  <si>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</si>
  <si>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</si>
  <si>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</si>
  <si>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</si>
  <si>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</si>
  <si>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</si>
  <si>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</si>
  <si>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</si>
  <si>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</si>
  <si>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</si>
  <si>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</si>
  <si>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</si>
  <si>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</si>
  <si>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</si>
  <si>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</si>
  <si>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</si>
  <si>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</si>
  <si>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</si>
  <si>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</si>
  <si>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</si>
  <si>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</si>
  <si>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</si>
  <si>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</si>
  <si>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</si>
  <si>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</si>
  <si>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</si>
  <si>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</si>
  <si>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</si>
  <si>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</si>
  <si>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</si>
  <si>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</si>
  <si>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</si>
  <si>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</si>
  <si>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</si>
  <si>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</si>
  <si>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</si>
  <si>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</si>
  <si>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</si>
  <si>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</si>
  <si>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</si>
  <si>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</si>
  <si>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</si>
  <si>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</si>
  <si>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</si>
  <si>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</si>
  <si>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</si>
  <si>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</si>
  <si>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</si>
  <si>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</si>
  <si>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</si>
  <si>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</si>
  <si>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</si>
  <si>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</si>
  <si>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</si>
  <si>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</si>
  <si>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</si>
  <si>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</si>
  <si>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</si>
  <si>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</si>
  <si>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</si>
  <si>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</si>
  <si>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</si>
  <si>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</si>
  <si>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</si>
  <si>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</si>
  <si>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</si>
  <si>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</si>
  <si>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</si>
  <si>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</si>
  <si>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</si>
  <si>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</si>
  <si>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</si>
  <si>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</si>
  <si>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</si>
  <si>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</si>
  <si>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</si>
  <si>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</si>
  <si>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</si>
  <si>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</si>
  <si>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</si>
  <si>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</si>
  <si>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</si>
  <si>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</si>
  <si>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</si>
  <si>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</si>
  <si>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</si>
  <si>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</si>
  <si>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</si>
  <si>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</si>
  <si>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</si>
  <si>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</si>
  <si>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</si>
  <si>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</si>
  <si>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</si>
  <si>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</si>
  <si>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</si>
  <si>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</si>
  <si>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</si>
  <si>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</si>
  <si>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</si>
  <si>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</si>
  <si>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</si>
  <si>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</si>
  <si>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</si>
  <si>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</si>
  <si>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</si>
  <si>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</si>
  <si>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</si>
  <si>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</si>
  <si>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</si>
  <si>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</si>
  <si>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</si>
  <si>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</si>
  <si>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</si>
  <si>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</si>
  <si>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</si>
  <si>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</si>
  <si>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</si>
  <si>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</si>
  <si>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</si>
  <si>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</si>
  <si>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</si>
  <si>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</si>
  <si>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</si>
  <si>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</si>
  <si>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</si>
  <si>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</si>
  <si>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</si>
  <si>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</si>
  <si>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</si>
  <si>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</si>
  <si>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</si>
  <si>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</si>
  <si>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</si>
  <si>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</si>
  <si>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</si>
  <si>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</si>
  <si>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</si>
  <si>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</si>
  <si>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</si>
  <si>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</si>
  <si>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</si>
  <si>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</si>
  <si>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</si>
  <si>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</si>
  <si>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</si>
  <si>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</si>
  <si>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</si>
  <si>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</si>
  <si>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</si>
  <si>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</si>
  <si>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</si>
  <si>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</si>
  <si>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</si>
  <si>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</si>
  <si>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</si>
  <si>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</si>
  <si>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</si>
  <si>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</si>
  <si>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</si>
  <si>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</si>
  <si>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</si>
  <si>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</si>
  <si>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</si>
  <si>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</si>
  <si>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</si>
  <si>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</si>
  <si>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</si>
  <si>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</si>
  <si>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</si>
  <si>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</si>
  <si>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</si>
  <si>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</si>
  <si>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</si>
  <si>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</si>
  <si>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</si>
  <si>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</si>
  <si>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</si>
  <si>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</si>
  <si>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</si>
  <si>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</si>
  <si>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</si>
  <si>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</si>
  <si>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</si>
  <si>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</si>
  <si>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</si>
  <si>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</si>
  <si>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</si>
  <si>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</si>
  <si>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</si>
  <si>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</si>
  <si>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</si>
  <si>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</si>
  <si>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</si>
  <si>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</si>
  <si>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</si>
  <si>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</si>
  <si>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</si>
  <si>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</si>
  <si>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</si>
  <si>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</si>
  <si>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</si>
  <si>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</si>
  <si>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</si>
  <si>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</si>
  <si>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</si>
  <si>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</si>
  <si>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</si>
  <si>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</si>
  <si>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</si>
  <si>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</si>
  <si>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</si>
  <si>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</si>
  <si>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</si>
  <si>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</si>
  <si>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</si>
  <si>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</si>
  <si>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</si>
  <si>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</si>
  <si>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</si>
  <si>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</si>
  <si>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</si>
  <si>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</si>
  <si>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</si>
  <si>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</si>
  <si>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</si>
  <si>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</si>
  <si>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</si>
  <si>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</si>
  <si>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</si>
  <si>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</si>
  <si>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</si>
  <si>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</si>
  <si>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</si>
  <si>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</si>
  <si>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</si>
  <si>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</si>
  <si>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</si>
  <si>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</si>
  <si>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</si>
  <si>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</si>
  <si>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</si>
  <si>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</si>
  <si>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</si>
  <si>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</si>
  <si>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</si>
  <si>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</si>
  <si>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</si>
  <si>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</si>
  <si>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</si>
  <si>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</si>
  <si>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</si>
  <si>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</si>
  <si>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</si>
  <si>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</si>
  <si>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</si>
  <si>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</si>
  <si>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</si>
  <si>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</si>
  <si>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</si>
  <si>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</si>
  <si>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</si>
  <si>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</si>
  <si>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</si>
  <si>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</si>
  <si>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</si>
  <si>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</si>
  <si>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</si>
  <si>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</si>
  <si>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</si>
  <si>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</si>
  <si>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</si>
  <si>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</si>
  <si>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</si>
  <si>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</si>
  <si>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</si>
  <si>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</si>
  <si>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</si>
  <si>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</si>
  <si>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</si>
  <si>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</si>
  <si>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</si>
  <si>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</si>
  <si>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</si>
  <si>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</si>
  <si>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</si>
  <si>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</si>
  <si>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</si>
  <si>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</si>
  <si>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</si>
  <si>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</si>
  <si>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</si>
  <si>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</si>
  <si>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</si>
  <si>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</si>
  <si>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</si>
  <si>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</si>
  <si>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</si>
  <si>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</si>
  <si>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</si>
  <si>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</si>
  <si>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</si>
  <si>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</si>
  <si>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</si>
  <si>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</si>
  <si>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</si>
  <si>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</si>
  <si>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</si>
  <si>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</si>
  <si>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</si>
  <si>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</si>
  <si>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</si>
  <si>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</si>
  <si>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</si>
  <si>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</si>
  <si>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</si>
  <si>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</si>
  <si>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</si>
  <si>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</si>
  <si>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</si>
  <si>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</si>
  <si>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</si>
  <si>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</si>
  <si>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</si>
  <si>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</si>
  <si>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</si>
  <si>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</si>
  <si>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</si>
  <si>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</si>
  <si>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</si>
  <si>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</si>
  <si>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</si>
  <si>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</si>
  <si>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</si>
  <si>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</si>
  <si>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</si>
  <si>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</si>
  <si>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</si>
  <si>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</si>
  <si>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</si>
  <si>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</si>
  <si>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</si>
  <si>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</si>
  <si>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</si>
  <si>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</si>
  <si>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</si>
  <si>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</si>
  <si>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</si>
  <si>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</si>
  <si>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</si>
  <si>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</si>
  <si>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</si>
  <si>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</si>
  <si>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</si>
  <si>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</si>
  <si>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</si>
  <si>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</si>
  <si>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</si>
  <si>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</si>
  <si>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</si>
  <si>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</si>
  <si>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</si>
  <si>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</si>
  <si>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</si>
  <si>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</si>
  <si>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</si>
  <si>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</si>
  <si>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</si>
  <si>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</si>
  <si>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</si>
  <si>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</si>
  <si>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</si>
  <si>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</si>
  <si>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</si>
  <si>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</si>
  <si>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</si>
  <si>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</si>
  <si>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</si>
  <si>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</si>
  <si>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</si>
  <si>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</si>
  <si>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</si>
  <si>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</si>
  <si>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</si>
  <si>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</si>
  <si>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</si>
  <si>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</si>
  <si>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</si>
  <si>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</si>
  <si>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</si>
  <si>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</si>
  <si>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</si>
  <si>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</si>
  <si>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</si>
  <si>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</si>
  <si>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</si>
  <si>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</si>
  <si>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</si>
  <si>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</si>
  <si>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</si>
  <si>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</si>
  <si>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</si>
  <si>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</si>
  <si>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</si>
  <si>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</si>
  <si>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</si>
  <si>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</si>
  <si>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</si>
  <si>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</si>
  <si>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</si>
  <si>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</si>
  <si>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</si>
  <si>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</si>
  <si>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</si>
  <si>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</si>
  <si>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</si>
  <si>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</si>
  <si>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</si>
  <si>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</si>
  <si>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</si>
  <si>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</si>
  <si>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</si>
  <si>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</si>
  <si>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</si>
  <si>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</si>
  <si>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</si>
  <si>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</si>
  <si>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</si>
  <si>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</si>
  <si>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</si>
  <si>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</si>
  <si>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</si>
  <si>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</si>
  <si>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</si>
  <si>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</si>
  <si>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</si>
  <si>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</si>
  <si>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</si>
  <si>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</si>
  <si>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</si>
  <si>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</si>
  <si>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</si>
  <si>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</si>
  <si>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</si>
  <si>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</si>
  <si>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</si>
  <si>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</si>
  <si>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</si>
  <si>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</si>
  <si>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</si>
  <si>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</si>
  <si>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</si>
  <si>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</si>
  <si>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</si>
  <si>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</si>
  <si>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</si>
  <si>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</si>
  <si>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</si>
  <si>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</si>
  <si>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</si>
  <si>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</si>
  <si>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</si>
  <si>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</si>
  <si>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</si>
  <si>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</si>
  <si>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</si>
  <si>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</si>
  <si>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</si>
  <si>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</si>
  <si>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</si>
  <si>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</si>
  <si>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</si>
  <si>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</si>
  <si>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</si>
  <si>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</si>
  <si>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</si>
  <si>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</si>
  <si>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</si>
  <si>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</si>
  <si>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</si>
  <si>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</si>
  <si>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</si>
  <si>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</si>
  <si>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</si>
  <si>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</si>
  <si>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</si>
  <si>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</si>
  <si>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</si>
  <si>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</si>
  <si>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</si>
  <si>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</si>
  <si>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</si>
  <si>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</si>
  <si>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</si>
  <si>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</si>
  <si>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</si>
  <si>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</si>
  <si>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</si>
  <si>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</si>
  <si>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</si>
  <si>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</si>
  <si>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</si>
  <si>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</si>
  <si>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</si>
  <si>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</si>
  <si>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</si>
  <si>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</si>
  <si>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</si>
  <si>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</si>
  <si>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</si>
  <si>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</si>
  <si>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</si>
  <si>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</si>
  <si>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</si>
  <si>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</si>
  <si>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</si>
  <si>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</si>
  <si>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</si>
  <si>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</si>
  <si>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</si>
  <si>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</si>
  <si>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</si>
  <si>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</si>
  <si>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</si>
  <si>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</si>
  <si>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</si>
  <si>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</si>
  <si>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</si>
  <si>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</si>
  <si>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</si>
  <si>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</si>
  <si>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</si>
  <si>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</si>
  <si>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</si>
  <si>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</si>
  <si>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</si>
  <si>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</si>
  <si>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</si>
  <si>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</si>
  <si>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</si>
  <si>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</si>
  <si>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</si>
  <si>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</si>
  <si>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</si>
  <si>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</si>
  <si>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</si>
  <si>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</si>
  <si>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</si>
  <si>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</si>
  <si>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</si>
  <si>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</si>
  <si>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</si>
  <si>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</si>
  <si>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</si>
  <si>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</si>
  <si>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</si>
  <si>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</si>
  <si>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</si>
  <si>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</si>
  <si>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</si>
  <si>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</si>
  <si>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</si>
  <si>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</si>
  <si>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</si>
  <si>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</si>
  <si>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</si>
  <si>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</si>
  <si>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</si>
  <si>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</si>
  <si>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</si>
  <si>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</si>
  <si>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</si>
  <si>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</si>
  <si>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</si>
  <si>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</si>
  <si>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</si>
  <si>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</si>
  <si>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</si>
  <si>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</si>
  <si>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</si>
  <si>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</si>
  <si>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</si>
  <si>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</si>
  <si>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</si>
  <si>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</si>
  <si>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</si>
  <si>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</si>
  <si>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</si>
  <si>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</si>
  <si>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</si>
  <si>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</si>
  <si>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</si>
  <si>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</si>
  <si>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</si>
  <si>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</si>
  <si>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</si>
  <si>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</si>
  <si>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</si>
  <si>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</si>
  <si>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</si>
  <si>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</si>
  <si>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</si>
  <si>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</si>
  <si>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</si>
  <si>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</si>
  <si>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</si>
  <si>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</si>
  <si>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</si>
  <si>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</si>
  <si>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</si>
  <si>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</si>
  <si>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</si>
  <si>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</si>
  <si>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</si>
  <si>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</si>
  <si>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</si>
  <si>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</si>
  <si>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</si>
  <si>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</si>
  <si>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</si>
  <si>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</si>
  <si>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</si>
  <si>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</si>
  <si>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</si>
  <si>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</si>
  <si>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</si>
  <si>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</si>
  <si>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</si>
  <si>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</si>
  <si>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</si>
  <si>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</si>
  <si>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</si>
  <si>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</si>
  <si>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</si>
  <si>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</si>
  <si>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</si>
  <si>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</si>
  <si>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</si>
  <si>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</si>
  <si>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</si>
  <si>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</si>
  <si>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</si>
  <si>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</si>
  <si>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</si>
  <si>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</si>
  <si>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</si>
  <si>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</si>
  <si>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</si>
  <si>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</si>
  <si>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</si>
  <si>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</si>
  <si>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</si>
  <si>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</si>
  <si>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</si>
  <si>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</si>
  <si>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</si>
  <si>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</si>
  <si>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</si>
  <si>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</si>
  <si>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</si>
  <si>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</si>
  <si>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</si>
  <si>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</si>
  <si>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</si>
  <si>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</si>
  <si>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</si>
  <si>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</si>
  <si>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</si>
  <si>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</si>
  <si>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</si>
  <si>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</si>
  <si>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</si>
  <si>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</si>
  <si>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</si>
  <si>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</si>
  <si>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</si>
  <si>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</si>
  <si>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</si>
  <si>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</si>
  <si>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</si>
  <si>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</si>
  <si>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</si>
  <si>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</si>
  <si>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</si>
  <si>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</si>
  <si>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</si>
  <si>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</si>
  <si>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</si>
  <si>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</si>
  <si>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</si>
  <si>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</si>
  <si>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</si>
  <si>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</si>
  <si>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</si>
  <si>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</si>
  <si>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</si>
  <si>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</si>
  <si>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</si>
  <si>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</si>
  <si>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</si>
  <si>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</si>
  <si>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</si>
  <si>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</si>
  <si>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</si>
  <si>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</si>
  <si>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</si>
  <si>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</si>
  <si>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</si>
  <si>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</si>
  <si>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</si>
  <si>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</si>
  <si>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</si>
  <si>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</si>
  <si>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</si>
  <si>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</si>
  <si>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</si>
  <si>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</si>
  <si>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</si>
  <si>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</si>
  <si>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</si>
  <si>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</si>
  <si>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</si>
  <si>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</si>
  <si>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</si>
  <si>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</si>
  <si>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</si>
  <si>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</si>
  <si>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</si>
  <si>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</si>
  <si>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</si>
  <si>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</si>
  <si>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</si>
  <si>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</si>
  <si>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</si>
  <si>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</si>
  <si>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</si>
  <si>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</si>
  <si>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</si>
  <si>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</si>
  <si>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</si>
  <si>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</si>
  <si>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</si>
  <si>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</si>
  <si>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</si>
  <si>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</si>
  <si>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</si>
  <si>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</si>
  <si>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</si>
  <si>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</si>
  <si>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</si>
  <si>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</si>
  <si>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</si>
  <si>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</si>
  <si>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</si>
  <si>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</si>
  <si>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</si>
  <si>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</si>
  <si>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</si>
  <si>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</si>
  <si>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</si>
  <si>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</si>
  <si>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</si>
  <si>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</si>
  <si>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</si>
  <si>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</si>
  <si>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</si>
  <si>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</si>
  <si>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</si>
  <si>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</si>
  <si>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</si>
  <si>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</si>
  <si>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</si>
  <si>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</si>
  <si>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</si>
  <si>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</si>
  <si>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</si>
  <si>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</si>
  <si>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</si>
  <si>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</si>
  <si>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</si>
  <si>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</si>
  <si>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</si>
  <si>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</si>
  <si>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</si>
  <si>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</si>
  <si>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</si>
  <si>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</si>
  <si>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</si>
  <si>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</si>
  <si>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</si>
  <si>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</si>
  <si>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</si>
  <si>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</si>
  <si>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</si>
  <si>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</si>
  <si>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</si>
  <si>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</si>
  <si>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</si>
  <si>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</si>
  <si>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</si>
  <si>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</si>
  <si>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</si>
  <si>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</si>
  <si>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</si>
  <si>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</si>
  <si>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</si>
  <si>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</si>
  <si>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</si>
  <si>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</si>
  <si>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</si>
  <si>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</si>
  <si>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</si>
  <si>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</si>
  <si>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</si>
  <si>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</si>
  <si>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</si>
  <si>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</si>
  <si>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</si>
  <si>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</si>
  <si>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</si>
  <si>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</si>
  <si>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</si>
  <si>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</si>
  <si>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</si>
  <si>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</si>
  <si>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</si>
  <si>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</si>
  <si>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</si>
  <si>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</si>
  <si>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</si>
  <si>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</si>
  <si>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</si>
  <si>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</si>
  <si>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</si>
  <si>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</si>
  <si>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</si>
  <si>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</si>
  <si>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</si>
  <si>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</si>
  <si>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</si>
  <si>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</si>
  <si>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</si>
  <si>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</si>
  <si>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</si>
  <si>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</si>
  <si>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</si>
  <si>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</si>
  <si>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</si>
  <si>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</si>
  <si>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</si>
  <si>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</si>
  <si>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</si>
  <si>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</si>
  <si>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</si>
  <si>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</si>
  <si>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</si>
  <si>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</si>
  <si>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</si>
  <si>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</si>
  <si>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</si>
  <si>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</si>
  <si>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</si>
  <si>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</si>
  <si>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</si>
  <si>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</si>
  <si>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</si>
  <si>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</si>
  <si>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</si>
  <si>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</si>
  <si>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</si>
  <si>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</si>
  <si>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</si>
  <si>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</si>
  <si>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</si>
  <si>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</si>
  <si>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</si>
  <si>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</si>
  <si>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</si>
  <si>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</si>
  <si>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</si>
  <si>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</si>
  <si>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</si>
  <si>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</si>
  <si>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</si>
  <si>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</si>
  <si>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</si>
  <si>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</si>
  <si>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</si>
  <si>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</si>
  <si>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</si>
  <si>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</si>
  <si>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</si>
  <si>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</si>
  <si>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</si>
  <si>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</si>
  <si>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</si>
  <si>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</si>
  <si>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</si>
  <si>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</si>
  <si>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</si>
  <si>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</si>
  <si>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</si>
  <si>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</si>
  <si>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</si>
  <si>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</si>
  <si>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</si>
  <si>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</si>
  <si>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</si>
  <si>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商业</t>
  </si>
  <si>
    <t>地上</t>
  </si>
  <si>
    <t>住宅</t>
    <phoneticPr fontId="3" type="noConversion"/>
  </si>
  <si>
    <t>商业</t>
    <phoneticPr fontId="3" type="noConversion"/>
  </si>
  <si>
    <t>比较法-住宅、综合</t>
  </si>
  <si>
    <t>剩余法-待开发</t>
  </si>
  <si>
    <t>青国用（2011）第01011号</t>
    <phoneticPr fontId="228" type="noConversion"/>
  </si>
  <si>
    <t>证号</t>
    <phoneticPr fontId="228" type="noConversion"/>
  </si>
  <si>
    <t>土地权利人</t>
    <phoneticPr fontId="228" type="noConversion"/>
  </si>
  <si>
    <t>青州市宏源公有资产经营有限公司</t>
    <phoneticPr fontId="228" type="noConversion"/>
  </si>
  <si>
    <t>座落</t>
    <phoneticPr fontId="228" type="noConversion"/>
  </si>
  <si>
    <t>胶王路北侧</t>
    <phoneticPr fontId="228" type="noConversion"/>
  </si>
  <si>
    <t>用途</t>
    <phoneticPr fontId="228" type="noConversion"/>
  </si>
  <si>
    <t>商住</t>
    <phoneticPr fontId="228" type="noConversion"/>
  </si>
  <si>
    <t>使用权类型</t>
    <phoneticPr fontId="228" type="noConversion"/>
  </si>
  <si>
    <t>出让</t>
    <phoneticPr fontId="228" type="noConversion"/>
  </si>
  <si>
    <t>使用权面积</t>
    <phoneticPr fontId="228" type="noConversion"/>
  </si>
  <si>
    <t>终止日期</t>
    <phoneticPr fontId="228" type="noConversion"/>
  </si>
  <si>
    <t>商住比例4：6</t>
    <phoneticPr fontId="228" type="noConversion"/>
  </si>
  <si>
    <t>住宅</t>
    <phoneticPr fontId="7" type="noConversion"/>
  </si>
  <si>
    <t>商业</t>
    <phoneticPr fontId="7" type="noConversion"/>
  </si>
  <si>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</si>
  <si>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</si>
  <si>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</si>
  <si>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</si>
  <si>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</si>
  <si>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</si>
  <si>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</si>
  <si>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</si>
  <si>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</si>
  <si>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</si>
  <si>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</si>
  <si>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</si>
  <si>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</si>
  <si>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</si>
  <si>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旗城路与海军路交叉口东南侧,西至海军路,北至旗城路,东至西店路,南至龙山路</t>
  </si>
  <si>
    <t>潍坊市</t>
  </si>
  <si>
    <t>住宅用地</t>
  </si>
  <si>
    <t>大于1并且小于1.2</t>
  </si>
  <si>
    <t>挂牌</t>
  </si>
  <si>
    <t>2019-02-15</t>
  </si>
  <si>
    <t>山东尧王置业有限公司</t>
  </si>
  <si>
    <t>0星</t>
  </si>
  <si>
    <t>大于1并且小于2</t>
  </si>
  <si>
    <t>2019-02-03</t>
  </si>
  <si>
    <t>青州伟业投资发展有限公司</t>
  </si>
  <si>
    <t>仙客来路与将军山路交叉口西北侧</t>
  </si>
  <si>
    <t>大于1并且小于1.8</t>
  </si>
  <si>
    <t>潍坊大邦房地产开发有限公司青州分公司</t>
  </si>
  <si>
    <t>稷山路与东侧规划路交叉口西北侧,南至稷山路,北至新稷山路,西至西侧规划路,东至东侧规划路</t>
  </si>
  <si>
    <t>2019-01-23</t>
  </si>
  <si>
    <t>山东中晨房地产开发有限公司</t>
  </si>
  <si>
    <t>海岱路与稷山路交叉口西北侧,西至西侧规划路,东至海岱路,北至规划新稷山路,南至稷山路</t>
  </si>
  <si>
    <t>青州青城置业有限公司</t>
  </si>
  <si>
    <t>益王府北路与纽约路交叉口东南侧</t>
  </si>
  <si>
    <t>2019-01-10</t>
  </si>
  <si>
    <t>上海中梁铭置业有限公司</t>
  </si>
  <si>
    <t>尧王山路与玉竹路交叉口东北侧</t>
    <phoneticPr fontId="228" type="noConversion"/>
  </si>
  <si>
    <t>2019-01-09</t>
  </si>
  <si>
    <t>潍坊瀚诺置业有限公司</t>
  </si>
  <si>
    <t>2018-12-26</t>
  </si>
  <si>
    <t>海岱路与丰收一路交叉口东南侧</t>
    <phoneticPr fontId="228" type="noConversion"/>
  </si>
  <si>
    <t>大于1并且小于1.7</t>
  </si>
  <si>
    <t>青州亿海诚房地产开发有限公司</t>
  </si>
  <si>
    <t>2018-12-12</t>
  </si>
  <si>
    <t>海岱路与工程学院路交叉口西南侧</t>
  </si>
  <si>
    <t>大于1并且小于1.4</t>
  </si>
  <si>
    <t>潍坊德利华房地产开发有限公司</t>
  </si>
  <si>
    <t>北城社区南侧,东至华裕小区,西至规划冠街,南至尧王山路</t>
  </si>
  <si>
    <t>2018-10-31</t>
  </si>
  <si>
    <t>潍坊诚信房地产开发有限公司</t>
  </si>
  <si>
    <t>仙客来路与瓜市路交叉口西南侧</t>
  </si>
  <si>
    <t>大于1并且小于2.2</t>
  </si>
  <si>
    <t>谭坊镇李家庄村,东至李家庄村村路,西至李家庄村村地,南至309国道沿街</t>
  </si>
  <si>
    <t>大于1并且小于或等于1.5</t>
  </si>
  <si>
    <t>青州市国泰置业有限公司</t>
  </si>
  <si>
    <t>凤凰山路与云门山路交叉口西南侧</t>
  </si>
  <si>
    <t>大于1并且小于1.1</t>
  </si>
  <si>
    <t>青州市鑫海房地产开发有限公司</t>
  </si>
  <si>
    <t>2018-10-17</t>
  </si>
  <si>
    <t>西至海军路,北至齐王路,东至驼山路,南至二中西街</t>
  </si>
  <si>
    <t>山东华业地产开发有限公司</t>
  </si>
  <si>
    <t>纽约路与益王府北路交叉口东北侧,北至规划路,东至规划路</t>
  </si>
  <si>
    <t>大于1并且小于1.5</t>
  </si>
  <si>
    <t>2018-10-12</t>
  </si>
  <si>
    <t>瓜市路与U型北路交叉口东南侧,东至青临铁路西侧道路,南至圣水路</t>
  </si>
  <si>
    <t>大于1.6并且小于2</t>
  </si>
  <si>
    <t>2018-09-19</t>
  </si>
  <si>
    <t>青州市碧辉置业有限公司</t>
  </si>
  <si>
    <t>王府街道涝埠村东侧、五里村南侧,北至王府迎宾大道,东至仁爱路,南至南阳河绿线</t>
  </si>
  <si>
    <t>2018-09-07</t>
  </si>
  <si>
    <t>青州市山水置业有限公司</t>
  </si>
  <si>
    <t>大于1并且小于或等于1.8</t>
  </si>
  <si>
    <t>2018-08-17</t>
  </si>
  <si>
    <t>西店社区,东至西店斜街,北至龙山路,西至海军路及酒厂宿舍,南至尧王山路</t>
  </si>
  <si>
    <t>青州市城市建设投资开发有限公司</t>
  </si>
  <si>
    <t>旗城路与海军路交叉口东南侧,西至海军路,北至旗城路,东至西店路,南至龙山路。</t>
  </si>
  <si>
    <t>2018-07-18</t>
  </si>
  <si>
    <t>花博园路与花博园东侧规划路交叉口东南侧</t>
  </si>
  <si>
    <t>2018-07-13</t>
  </si>
  <si>
    <t>青州麒麟置业有限公司</t>
  </si>
  <si>
    <t>海岱路与新稷山路交叉口东北侧,东邻规划路,西邻海岱路,南邻新稷山路</t>
  </si>
  <si>
    <t>仙客来路与将军山路交叉口西北侧,南至将军山路,西至规划坡子路,北侧、东侧均为云门山街道新冯社区地</t>
  </si>
  <si>
    <t>2018-07-11</t>
  </si>
  <si>
    <t>2018-07-04</t>
  </si>
  <si>
    <t>2018-06-15</t>
  </si>
  <si>
    <t>泰华城东侧,北至范公亭东路,南至东圣水南街,西至东圣水西街,东至规划朱兴路</t>
  </si>
  <si>
    <t>大于1并且小于3.5</t>
  </si>
  <si>
    <t>2018-06-07</t>
  </si>
  <si>
    <t>青州泰华房地产开发经营有限公司</t>
  </si>
  <si>
    <t>经济开发区仙客来路与富盈街交叉口西北侧</t>
  </si>
  <si>
    <t>拍卖</t>
  </si>
  <si>
    <t>2018-05-22</t>
  </si>
  <si>
    <t>青州凯佳置业有限公司</t>
  </si>
  <si>
    <t>高柳镇西朱鹿村,东至村路,西、南至西朱鹿村地,北至镇前路路</t>
  </si>
  <si>
    <t>2018-05-18</t>
  </si>
  <si>
    <t>2018-03-07</t>
  </si>
  <si>
    <t>凤凰山路与坡子路交叉口东南侧</t>
  </si>
  <si>
    <t>青州锦第置业有限公司</t>
  </si>
  <si>
    <t>凤凰山路与仙客来路交叉口西南侧</t>
  </si>
  <si>
    <t>弥河镇机场路以东,弥河大街南侧</t>
  </si>
  <si>
    <t>潍坊博凯置业有限公司</t>
  </si>
  <si>
    <t>西至老汽车站西街,东到海岱路,南起龙山路,北至胶济铁路。</t>
  </si>
  <si>
    <t>2018-01-24</t>
  </si>
  <si>
    <t>青州三一房地产开发有限公司</t>
  </si>
  <si>
    <t>纽约路与益王府路交叉口西北侧</t>
  </si>
  <si>
    <t>2018-01-19</t>
  </si>
  <si>
    <t>2017-12-29</t>
  </si>
  <si>
    <t>邵庄镇神旺庄村。</t>
  </si>
  <si>
    <t>2017-12-20</t>
  </si>
  <si>
    <t>青州恒润建设投资发展有限公司</t>
  </si>
  <si>
    <t>仙客来路与花博园交叉口东南侧</t>
  </si>
  <si>
    <t>青州大易置业有限公司</t>
  </si>
  <si>
    <t>邵庄镇沙家村</t>
  </si>
  <si>
    <t>西至海军路,北至齐王路,东至驼山路,南至二中西街。</t>
  </si>
  <si>
    <t>玉竹路与夏辛路交叉口东北侧。</t>
  </si>
  <si>
    <t>2017-11-24</t>
  </si>
  <si>
    <t>弥河镇机场路与弥河大街交叉口东南侧,四周均为弥河镇小官庄村地</t>
  </si>
  <si>
    <t>2017-09-27</t>
  </si>
  <si>
    <t>尧王山路与益王府路交叉口东北侧,南侧为传信楼安置区,北侧、东侧、西侧为传信楼社区。</t>
  </si>
  <si>
    <t>2017-09-15</t>
  </si>
  <si>
    <t>瓜市路与U型北路交叉口东南侧。</t>
  </si>
  <si>
    <t>山东丛亿置业有限公司</t>
  </si>
  <si>
    <t>2017-07-12</t>
  </si>
  <si>
    <t>王府迎宾大道与涝埠路交叉口西北角地块,西至涝埠村出村路,东至涝埠路,南至王府迎宾大道。</t>
  </si>
  <si>
    <t>大于1并且小于1.6</t>
  </si>
  <si>
    <t>青州德胜置业有限公司</t>
  </si>
  <si>
    <t>新南环路与工程机路交叉口东南角,西至工程机路,北至新南环路,南侧、东侧均为沈家社区地</t>
  </si>
  <si>
    <t>东夏镇王小村,北临迎宾大道,南至高速铁路,西临规划的龙山文化广场,东临王小生产路</t>
  </si>
  <si>
    <t>2017-07-03</t>
  </si>
  <si>
    <t>王府街道涝埠村东侧、五里村南侧,西临博爱路,东至仁和路,北至王府迎宾大道,南至南阳河绿线。</t>
  </si>
  <si>
    <t>2017-06-28</t>
  </si>
  <si>
    <t>青州市城建房地产开发有限公司</t>
  </si>
  <si>
    <t>规划苏桥路与海岱苑路交叉口东北侧,四周均为云门山街道苏桥社区</t>
  </si>
  <si>
    <t>齐王路与驼山路交叉口西北侧,东至驼山路,南至齐王路,西至西侧规划路,北至北侧规划路。</t>
  </si>
  <si>
    <t>大于1并且小于或等于2</t>
  </si>
  <si>
    <t>青州晋源房地产开发有限公司</t>
  </si>
  <si>
    <t>山东泰丰城建发展集团有限公司</t>
  </si>
  <si>
    <t>皇城丽景苑小区北侧,北至衡王府西街,东临地税局家属院,西临皇城丽景苑小区前停车场。</t>
  </si>
  <si>
    <t>大于1并且小于1.9</t>
  </si>
  <si>
    <t>2017-05-24</t>
  </si>
  <si>
    <t>凤凰山路与海岱路交叉口东南侧,南侧、北侧为云门山街道东后坡社区,东侧为山东中晨房地产开发有限公司,西侧为山东中晨房地产开发有限公司及东后坡社区</t>
  </si>
  <si>
    <t>顺兴路与规划政法街延伸段交叉口东北侧,北至山东益能置业有限公司,东侧、西侧、南侧均为云门山街道北李家社区地</t>
  </si>
  <si>
    <t>大于1并且小于1.3</t>
  </si>
  <si>
    <t>西临昭德路,东侧、南侧、北侧均为潍坊大邦房地产开发有限公司青州分公司</t>
  </si>
  <si>
    <t>2017-04-28</t>
  </si>
  <si>
    <t>岔河村西侧,西至市区新西环东侧规划路,东至岔河村西侧规划路,北至旗城大街向西延伸段,南至尧王山西路。</t>
  </si>
  <si>
    <t>东夏镇供电所以东,迎宾大道以北</t>
  </si>
  <si>
    <t>2017-03-31</t>
  </si>
  <si>
    <t>将军山路北侧,四周均为云门山街道西邢社区</t>
  </si>
  <si>
    <r>
      <rPr>
        <sz val="10"/>
        <rFont val="宋体"/>
        <family val="3"/>
        <charset val="134"/>
      </rPr>
      <t>驼山路与尧王山路交叉口东北侧</t>
    </r>
    <r>
      <rPr>
        <sz val="10"/>
        <rFont val="Arial"/>
        <family val="2"/>
      </rPr>
      <t>,</t>
    </r>
    <r>
      <rPr>
        <sz val="10"/>
        <rFont val="宋体"/>
        <family val="3"/>
        <charset val="134"/>
      </rPr>
      <t>南至尧王山路</t>
    </r>
    <r>
      <rPr>
        <sz val="10"/>
        <rFont val="Arial"/>
        <family val="2"/>
      </rPr>
      <t>,</t>
    </r>
    <r>
      <rPr>
        <sz val="10"/>
        <rFont val="宋体"/>
        <family val="3"/>
        <charset val="134"/>
      </rPr>
      <t>北至龙山路</t>
    </r>
    <r>
      <rPr>
        <sz val="10"/>
        <rFont val="Arial"/>
        <family val="2"/>
      </rPr>
      <t>,</t>
    </r>
    <r>
      <rPr>
        <sz val="10"/>
        <rFont val="宋体"/>
        <family val="3"/>
        <charset val="134"/>
      </rPr>
      <t>西至驼山路。</t>
    </r>
    <phoneticPr fontId="228" type="noConversion"/>
  </si>
  <si>
    <t>押二</t>
  </si>
  <si>
    <t>按租金收入计税</t>
  </si>
  <si>
    <t>钢混</t>
  </si>
  <si>
    <t>售价</t>
  </si>
  <si>
    <t>平章府小区</t>
    <phoneticPr fontId="3" type="noConversion"/>
  </si>
  <si>
    <t>南燕都小区</t>
    <phoneticPr fontId="21" type="noConversion"/>
  </si>
  <si>
    <t>益王府花园</t>
    <phoneticPr fontId="3" type="noConversion"/>
  </si>
  <si>
    <t>正常</t>
  </si>
  <si>
    <t>住宅</t>
    <phoneticPr fontId="21" type="noConversion"/>
  </si>
  <si>
    <t>30-40（含）</t>
  </si>
  <si>
    <t>60-70（含）</t>
  </si>
  <si>
    <t>一般</t>
  </si>
  <si>
    <t>较好</t>
  </si>
  <si>
    <t>七通</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</si>
  <si>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</si>
  <si>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</si>
  <si>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</si>
  <si>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</si>
  <si>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</si>
  <si>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</si>
  <si>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</si>
  <si>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</si>
  <si>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</si>
  <si>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</si>
  <si>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</si>
  <si>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</si>
  <si>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</si>
  <si>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</si>
  <si>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</si>
  <si>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</si>
  <si>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</si>
  <si>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</si>
  <si>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多层</t>
    <phoneticPr fontId="3" type="noConversion"/>
  </si>
  <si>
    <t>小高层</t>
    <phoneticPr fontId="3" type="noConversion"/>
  </si>
  <si>
    <t>高层</t>
    <phoneticPr fontId="3" type="noConversion"/>
  </si>
  <si>
    <t>高档</t>
  </si>
  <si>
    <t>精装修</t>
  </si>
  <si>
    <t>专业</t>
  </si>
  <si>
    <t>平层</t>
  </si>
  <si>
    <t>毛坯</t>
  </si>
  <si>
    <t>多层</t>
  </si>
  <si>
    <t>凤凰山路与坡子路交叉口东南侧。</t>
    <phoneticPr fontId="228" type="noConversion"/>
  </si>
  <si>
    <t>商业容积率2.2</t>
    <phoneticPr fontId="228" type="noConversion"/>
  </si>
  <si>
    <t>住宅容积率2.2</t>
    <phoneticPr fontId="228" type="noConversion"/>
  </si>
  <si>
    <t>住宅</t>
    <phoneticPr fontId="26" type="noConversion"/>
  </si>
  <si>
    <t>较规则</t>
  </si>
  <si>
    <t>比例较适宜</t>
  </si>
  <si>
    <t>七通一平</t>
  </si>
  <si>
    <t>六通一平</t>
  </si>
  <si>
    <t>五通一平</t>
  </si>
  <si>
    <t>四通一平</t>
  </si>
  <si>
    <t>三通一平</t>
  </si>
  <si>
    <t>较差</t>
  </si>
  <si>
    <t>楼面地价</t>
  </si>
  <si>
    <t>青州市宏源公有资产经营有限公司</t>
    <phoneticPr fontId="6" type="noConversion"/>
  </si>
  <si>
    <t>王鹏</t>
  </si>
  <si>
    <t>郑燚</t>
  </si>
  <si>
    <t>其他：</t>
  </si>
  <si>
    <t>企业</t>
  </si>
  <si>
    <t>商住</t>
    <phoneticPr fontId="6" type="noConversion"/>
  </si>
  <si>
    <r>
      <rPr>
        <sz val="10"/>
        <rFont val="宋体"/>
        <family val="3"/>
        <charset val="134"/>
      </rPr>
      <t>昭德路与青龙街交叉口西北侧</t>
    </r>
    <r>
      <rPr>
        <sz val="10"/>
        <rFont val="Arial"/>
        <family val="2"/>
      </rPr>
      <t>,</t>
    </r>
    <r>
      <rPr>
        <sz val="10"/>
        <rFont val="宋体"/>
        <family val="3"/>
        <charset val="134"/>
      </rPr>
      <t>西至苏桥路</t>
    </r>
    <r>
      <rPr>
        <sz val="10"/>
        <rFont val="Arial"/>
        <family val="2"/>
      </rPr>
      <t>,</t>
    </r>
    <r>
      <rPr>
        <sz val="10"/>
        <rFont val="宋体"/>
        <family val="3"/>
        <charset val="134"/>
      </rPr>
      <t>北至规划路</t>
    </r>
    <r>
      <rPr>
        <sz val="10"/>
        <rFont val="Arial"/>
        <family val="2"/>
      </rPr>
      <t>,</t>
    </r>
    <r>
      <rPr>
        <sz val="10"/>
        <rFont val="宋体"/>
        <family val="3"/>
        <charset val="134"/>
      </rPr>
      <t>东至昭德路</t>
    </r>
    <r>
      <rPr>
        <sz val="10"/>
        <rFont val="Arial"/>
        <family val="2"/>
      </rPr>
      <t>,</t>
    </r>
    <r>
      <rPr>
        <sz val="10"/>
        <rFont val="宋体"/>
        <family val="3"/>
        <charset val="134"/>
      </rPr>
      <t>南至青龙街</t>
    </r>
    <phoneticPr fontId="228" type="noConversion"/>
  </si>
  <si>
    <t>70</t>
    <phoneticPr fontId="26" type="noConversion"/>
  </si>
  <si>
    <r>
      <rPr>
        <sz val="10"/>
        <rFont val="宋体"/>
        <family val="3"/>
        <charset val="134"/>
      </rPr>
      <t>海岱路与稷山路交叉口西北侧</t>
    </r>
    <r>
      <rPr>
        <sz val="10"/>
        <rFont val="Arial"/>
        <family val="2"/>
      </rPr>
      <t>,</t>
    </r>
    <r>
      <rPr>
        <sz val="10"/>
        <rFont val="宋体"/>
        <family val="3"/>
        <charset val="134"/>
      </rPr>
      <t>西至西侧规划路</t>
    </r>
    <r>
      <rPr>
        <sz val="10"/>
        <rFont val="Arial"/>
        <family val="2"/>
      </rPr>
      <t>,</t>
    </r>
    <r>
      <rPr>
        <sz val="10"/>
        <rFont val="宋体"/>
        <family val="3"/>
        <charset val="134"/>
      </rPr>
      <t>东至海岱路</t>
    </r>
    <r>
      <rPr>
        <sz val="10"/>
        <rFont val="Arial"/>
        <family val="2"/>
      </rPr>
      <t>,</t>
    </r>
    <r>
      <rPr>
        <sz val="10"/>
        <rFont val="宋体"/>
        <family val="3"/>
        <charset val="134"/>
      </rPr>
      <t>北至规划新稷山路</t>
    </r>
    <r>
      <rPr>
        <sz val="10"/>
        <rFont val="Arial"/>
        <family val="2"/>
      </rPr>
      <t>,</t>
    </r>
    <r>
      <rPr>
        <sz val="10"/>
        <rFont val="宋体"/>
        <family val="3"/>
        <charset val="134"/>
      </rPr>
      <t>南至稷山路</t>
    </r>
    <phoneticPr fontId="228" type="noConversion"/>
  </si>
  <si>
    <r>
      <rPr>
        <sz val="10"/>
        <color rgb="FFFF0000"/>
        <rFont val="宋体"/>
        <family val="3"/>
        <charset val="134"/>
      </rPr>
      <t>岔河村西侧</t>
    </r>
    <r>
      <rPr>
        <sz val="10"/>
        <color rgb="FFFF0000"/>
        <rFont val="Arial"/>
        <family val="2"/>
      </rPr>
      <t>,</t>
    </r>
    <r>
      <rPr>
        <sz val="10"/>
        <color rgb="FFFF0000"/>
        <rFont val="宋体"/>
        <family val="3"/>
        <charset val="134"/>
      </rPr>
      <t>西至市区新西环东侧规划路</t>
    </r>
    <r>
      <rPr>
        <sz val="10"/>
        <color rgb="FFFF0000"/>
        <rFont val="Arial"/>
        <family val="2"/>
      </rPr>
      <t>,</t>
    </r>
    <r>
      <rPr>
        <sz val="10"/>
        <color rgb="FFFF0000"/>
        <rFont val="宋体"/>
        <family val="3"/>
        <charset val="134"/>
      </rPr>
      <t>东至岔河村西侧规划路</t>
    </r>
    <r>
      <rPr>
        <sz val="10"/>
        <color rgb="FFFF0000"/>
        <rFont val="Arial"/>
        <family val="2"/>
      </rPr>
      <t>,</t>
    </r>
    <r>
      <rPr>
        <sz val="10"/>
        <color rgb="FFFF0000"/>
        <rFont val="宋体"/>
        <family val="3"/>
        <charset val="134"/>
      </rPr>
      <t>北至旗城大街向西延伸段</t>
    </r>
    <r>
      <rPr>
        <sz val="10"/>
        <color rgb="FFFF0000"/>
        <rFont val="Arial"/>
        <family val="2"/>
      </rPr>
      <t>,</t>
    </r>
    <r>
      <rPr>
        <sz val="10"/>
        <color rgb="FFFF0000"/>
        <rFont val="宋体"/>
        <family val="3"/>
        <charset val="134"/>
      </rPr>
      <t>南至尧王山西路。</t>
    </r>
    <phoneticPr fontId="228" type="noConversion"/>
  </si>
  <si>
    <r>
      <rPr>
        <sz val="10"/>
        <color rgb="FFFF0000"/>
        <rFont val="宋体"/>
        <family val="3"/>
        <charset val="134"/>
      </rPr>
      <t>王府街道涝埠村东侧、五里村南侧</t>
    </r>
    <r>
      <rPr>
        <sz val="10"/>
        <color rgb="FFFF0000"/>
        <rFont val="Arial"/>
        <family val="2"/>
      </rPr>
      <t>,</t>
    </r>
    <r>
      <rPr>
        <sz val="10"/>
        <color rgb="FFFF0000"/>
        <rFont val="宋体"/>
        <family val="3"/>
        <charset val="134"/>
      </rPr>
      <t>北至王府迎宾大道</t>
    </r>
    <r>
      <rPr>
        <sz val="10"/>
        <color rgb="FFFF0000"/>
        <rFont val="Arial"/>
        <family val="2"/>
      </rPr>
      <t>,</t>
    </r>
    <r>
      <rPr>
        <sz val="10"/>
        <color rgb="FFFF0000"/>
        <rFont val="宋体"/>
        <family val="3"/>
        <charset val="134"/>
      </rPr>
      <t>东至仁爱路</t>
    </r>
    <r>
      <rPr>
        <sz val="10"/>
        <color rgb="FFFF0000"/>
        <rFont val="Arial"/>
        <family val="2"/>
      </rPr>
      <t>,</t>
    </r>
    <r>
      <rPr>
        <sz val="10"/>
        <color rgb="FFFF0000"/>
        <rFont val="宋体"/>
        <family val="3"/>
        <charset val="134"/>
      </rPr>
      <t>南至南阳河绿线</t>
    </r>
    <phoneticPr fontId="228" type="noConversion"/>
  </si>
  <si>
    <r>
      <rPr>
        <sz val="10"/>
        <rFont val="宋体"/>
        <family val="3"/>
        <charset val="134"/>
      </rPr>
      <t>尧王山路与益王府路交叉口东北侧</t>
    </r>
    <r>
      <rPr>
        <sz val="10"/>
        <rFont val="Arial"/>
        <family val="2"/>
      </rPr>
      <t>,</t>
    </r>
    <r>
      <rPr>
        <sz val="10"/>
        <rFont val="宋体"/>
        <family val="3"/>
        <charset val="134"/>
      </rPr>
      <t>北侧为传信楼安置区</t>
    </r>
    <r>
      <rPr>
        <sz val="10"/>
        <rFont val="Arial"/>
        <family val="2"/>
      </rPr>
      <t>,</t>
    </r>
    <r>
      <rPr>
        <sz val="10"/>
        <rFont val="宋体"/>
        <family val="3"/>
        <charset val="134"/>
      </rPr>
      <t>南侧、东侧、西侧为传信楼社区。</t>
    </r>
    <phoneticPr fontId="228" type="noConversion"/>
  </si>
  <si>
    <t>中粮信托有限责任公司</t>
    <phoneticPr fontId="6" type="noConversion"/>
  </si>
  <si>
    <t>否</t>
  </si>
  <si>
    <t>《国有土地使用证》[青国用（2011）第01011号]</t>
    <phoneticPr fontId="3" type="noConversion"/>
  </si>
  <si>
    <t>山东省</t>
    <phoneticPr fontId="6" type="noConversion"/>
  </si>
  <si>
    <t>潍坊市青州市胶王路北侧一宗商业、住宅用地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</si>
</sst>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45" fillId="0" borderId="0" xfId="0" applyFont="1">
      <alignment vertical="center"/>
    </xf>
    <xf numFmtId="14" fontId="145" fillId="0" borderId="0" xfId="0" applyNumberFormat="1" applyFont="1">
      <alignment vertical="center"/>
    </xf>
    <xf numFmtId="178" fontId="76" fillId="8" borderId="2" xfId="2" applyNumberFormat="1" applyFont="1" applyFill="1" applyBorder="1" applyAlignment="1" applyProtection="1">
      <alignment horizontal="center" vertical="center"/>
      <protection locked="0"/>
    </xf>
    <xf numFmtId="9" fontId="76" fillId="8" borderId="5" xfId="0" applyNumberFormat="1" applyFont="1" applyFill="1" applyBorder="1" applyAlignment="1" applyProtection="1">
      <alignment horizontal="center" vertical="center"/>
      <protection locked="0"/>
    </xf>
    <xf numFmtId="10" fontId="71" fillId="8" borderId="2" xfId="0" applyNumberFormat="1" applyFont="1" applyFill="1" applyBorder="1" applyAlignment="1" applyProtection="1">
      <alignment horizontal="center" vertical="center"/>
      <protection locked="0"/>
    </xf>
    <xf numFmtId="183" fontId="71" fillId="8" borderId="2" xfId="0" applyNumberFormat="1" applyFont="1" applyFill="1" applyBorder="1" applyAlignment="1" applyProtection="1">
      <alignment horizontal="center" vertical="center"/>
      <protection locked="0"/>
    </xf>
    <xf numFmtId="182" fontId="71" fillId="8" borderId="5" xfId="0" applyNumberFormat="1" applyFont="1" applyFill="1" applyBorder="1" applyAlignment="1" applyProtection="1">
      <alignment horizontal="center" vertical="center"/>
      <protection locked="0"/>
    </xf>
    <xf numFmtId="182" fontId="76" fillId="8" borderId="12" xfId="0" applyNumberFormat="1" applyFont="1" applyFill="1" applyBorder="1" applyAlignment="1" applyProtection="1">
      <alignment horizontal="center" vertical="center"/>
      <protection locked="0"/>
    </xf>
    <xf numFmtId="182" fontId="76" fillId="8" borderId="51" xfId="0" applyNumberFormat="1" applyFont="1" applyFill="1" applyBorder="1" applyAlignment="1" applyProtection="1">
      <alignment horizontal="center" vertical="center"/>
      <protection locked="0"/>
    </xf>
    <xf numFmtId="0" fontId="86" fillId="0" borderId="0" xfId="16" applyAlignment="1">
      <alignment horizontal="left" vertical="center"/>
    </xf>
    <xf numFmtId="0" fontId="158" fillId="0" borderId="0" xfId="16" applyFont="1" applyAlignment="1">
      <alignment horizontal="left" vertical="center"/>
    </xf>
    <xf numFmtId="0" fontId="152" fillId="0" borderId="0" xfId="16" applyFont="1" applyAlignment="1">
      <alignment horizontal="left" vertical="center"/>
    </xf>
    <xf numFmtId="0" fontId="86" fillId="0" borderId="0" xfId="16" applyFont="1" applyAlignment="1">
      <alignment horizontal="left" vertical="center"/>
    </xf>
    <xf numFmtId="0" fontId="86" fillId="0" borderId="0" xfId="17" applyAlignment="1">
      <alignment horizontal="lef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27" fillId="0" borderId="0" xfId="17" applyFont="1" applyAlignment="1">
      <alignment horizontal="lef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0" fillId="0" borderId="0" xfId="0" applyNumberFormat="1">
      <alignment vertical="center"/>
    </xf>
    <xf numFmtId="178" fontId="275" fillId="0" borderId="0" xfId="0" applyNumberFormat="1" applyFont="1">
      <alignment vertical="center"/>
    </xf>
    <xf numFmtId="0" fontId="275" fillId="0" borderId="0" xfId="0" applyFont="1">
      <alignment vertical="center"/>
    </xf>
    <xf numFmtId="0" fontId="127" fillId="0" borderId="0" xfId="16" applyFont="1" applyAlignment="1">
      <alignment horizontal="left" vertical="center"/>
    </xf>
    <xf numFmtId="178" fontId="147" fillId="0" borderId="0" xfId="0" applyNumberFormat="1" applyFont="1">
      <alignment vertical="center"/>
    </xf>
    <xf numFmtId="0" fontId="147" fillId="0" borderId="0" xfId="0" applyFont="1">
      <alignment vertical="center"/>
    </xf>
    <xf numFmtId="0" fontId="158" fillId="0" borderId="0" xfId="17" applyFont="1" applyAlignment="1">
      <alignment horizontal="left" vertical="center"/>
    </xf>
    <xf numFmtId="0" fontId="86" fillId="0" borderId="0" xfId="17" applyFont="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64" xfId="0" applyFont="1" applyFill="1" applyBorder="1" applyAlignment="1" applyProtection="1">
      <alignment horizontal="center" vertical="center" wrapText="1"/>
      <protection locked="0"/>
    </xf>
    <xf numFmtId="0" fontId="262" fillId="0" borderId="1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11"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12</xdr:col>
      <xdr:colOff>198988</xdr:colOff>
      <xdr:row>28</xdr:row>
      <xdr:rowOff>170850</xdr:rowOff>
    </xdr:to>
    <xdr:pic>
      <xdr:nvPicPr>
        <xdr:cNvPr id="6" name="图片 5"/>
        <xdr:cNvPicPr>
          <a:picLocks noChangeAspect="1"/>
        </xdr:cNvPicPr>
      </xdr:nvPicPr>
      <xdr:blipFill>
        <a:blip xmlns:r="http://schemas.openxmlformats.org/officeDocument/2006/relationships" r:embed="rId1"/>
        <a:stretch>
          <a:fillRect/>
        </a:stretch>
      </xdr:blipFill>
      <xdr:spPr>
        <a:xfrm>
          <a:off x="133350" y="171450"/>
          <a:ext cx="8295238" cy="4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10</xdr:col>
      <xdr:colOff>189251</xdr:colOff>
      <xdr:row>21</xdr:row>
      <xdr:rowOff>133098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0"/>
          <a:ext cx="9990476" cy="2019048"/>
        </a:xfrm>
        <a:prstGeom prst="rect">
          <a:avLst/>
        </a:prstGeom>
      </xdr:spPr>
    </xdr:pic>
    <xdr:clientData/>
  </xdr:twoCellAnchor>
  <xdr:twoCellAnchor editAs="oneCell">
    <xdr:from>
      <xdr:col>0</xdr:col>
      <xdr:colOff>504825</xdr:colOff>
      <xdr:row>31</xdr:row>
      <xdr:rowOff>161925</xdr:rowOff>
    </xdr:from>
    <xdr:to>
      <xdr:col>9</xdr:col>
      <xdr:colOff>455981</xdr:colOff>
      <xdr:row>44</xdr:row>
      <xdr:rowOff>56885</xdr:rowOff>
    </xdr:to>
    <xdr:pic>
      <xdr:nvPicPr>
        <xdr:cNvPr id="3" name="图片 2"/>
        <xdr:cNvPicPr>
          <a:picLocks noChangeAspect="1"/>
        </xdr:cNvPicPr>
      </xdr:nvPicPr>
      <xdr:blipFill>
        <a:blip xmlns:r="http://schemas.openxmlformats.org/officeDocument/2006/relationships" r:embed="rId2"/>
        <a:stretch>
          <a:fillRect/>
        </a:stretch>
      </xdr:blipFill>
      <xdr:spPr>
        <a:xfrm>
          <a:off x="504825" y="5476875"/>
          <a:ext cx="9752381" cy="2123810"/>
        </a:xfrm>
        <a:prstGeom prst="rect">
          <a:avLst/>
        </a:prstGeom>
      </xdr:spPr>
    </xdr:pic>
    <xdr:clientData/>
  </xdr:twoCellAnchor>
  <xdr:twoCellAnchor editAs="oneCell">
    <xdr:from>
      <xdr:col>1</xdr:col>
      <xdr:colOff>152400</xdr:colOff>
      <xdr:row>19</xdr:row>
      <xdr:rowOff>161925</xdr:rowOff>
    </xdr:from>
    <xdr:to>
      <xdr:col>9</xdr:col>
      <xdr:colOff>427451</xdr:colOff>
      <xdr:row>31</xdr:row>
      <xdr:rowOff>85477</xdr:rowOff>
    </xdr:to>
    <xdr:pic>
      <xdr:nvPicPr>
        <xdr:cNvPr id="4" name="图片 3"/>
        <xdr:cNvPicPr>
          <a:picLocks noChangeAspect="1"/>
        </xdr:cNvPicPr>
      </xdr:nvPicPr>
      <xdr:blipFill>
        <a:blip xmlns:r="http://schemas.openxmlformats.org/officeDocument/2006/relationships" r:embed="rId3"/>
        <a:stretch>
          <a:fillRect/>
        </a:stretch>
      </xdr:blipFill>
      <xdr:spPr>
        <a:xfrm>
          <a:off x="838200" y="3419475"/>
          <a:ext cx="9390476" cy="1980952"/>
        </a:xfrm>
        <a:prstGeom prst="rect">
          <a:avLst/>
        </a:prstGeom>
      </xdr:spPr>
    </xdr:pic>
    <xdr:clientData/>
  </xdr:twoCellAnchor>
  <xdr:twoCellAnchor editAs="oneCell">
    <xdr:from>
      <xdr:col>1</xdr:col>
      <xdr:colOff>114300</xdr:colOff>
      <xdr:row>44</xdr:row>
      <xdr:rowOff>123825</xdr:rowOff>
    </xdr:from>
    <xdr:to>
      <xdr:col>6</xdr:col>
      <xdr:colOff>132536</xdr:colOff>
      <xdr:row>67</xdr:row>
      <xdr:rowOff>28094</xdr:rowOff>
    </xdr:to>
    <xdr:pic>
      <xdr:nvPicPr>
        <xdr:cNvPr id="6" name="图片 5"/>
        <xdr:cNvPicPr>
          <a:picLocks noChangeAspect="1"/>
        </xdr:cNvPicPr>
      </xdr:nvPicPr>
      <xdr:blipFill>
        <a:blip xmlns:r="http://schemas.openxmlformats.org/officeDocument/2006/relationships" r:embed="rId4"/>
        <a:stretch>
          <a:fillRect/>
        </a:stretch>
      </xdr:blipFill>
      <xdr:spPr>
        <a:xfrm>
          <a:off x="800100" y="7667625"/>
          <a:ext cx="6514286" cy="3847619"/>
        </a:xfrm>
        <a:prstGeom prst="rect">
          <a:avLst/>
        </a:prstGeom>
      </xdr:spPr>
    </xdr:pic>
    <xdr:clientData/>
  </xdr:twoCellAnchor>
  <xdr:twoCellAnchor editAs="oneCell">
    <xdr:from>
      <xdr:col>0</xdr:col>
      <xdr:colOff>542925</xdr:colOff>
      <xdr:row>83</xdr:row>
      <xdr:rowOff>47625</xdr:rowOff>
    </xdr:from>
    <xdr:to>
      <xdr:col>9</xdr:col>
      <xdr:colOff>455986</xdr:colOff>
      <xdr:row>92</xdr:row>
      <xdr:rowOff>142670</xdr:rowOff>
    </xdr:to>
    <xdr:pic>
      <xdr:nvPicPr>
        <xdr:cNvPr id="7" name="图片 6"/>
        <xdr:cNvPicPr>
          <a:picLocks noChangeAspect="1"/>
        </xdr:cNvPicPr>
      </xdr:nvPicPr>
      <xdr:blipFill>
        <a:blip xmlns:r="http://schemas.openxmlformats.org/officeDocument/2006/relationships" r:embed="rId5"/>
        <a:stretch>
          <a:fillRect/>
        </a:stretch>
      </xdr:blipFill>
      <xdr:spPr>
        <a:xfrm>
          <a:off x="542925" y="14277975"/>
          <a:ext cx="9714286" cy="1638095"/>
        </a:xfrm>
        <a:prstGeom prst="rect">
          <a:avLst/>
        </a:prstGeom>
      </xdr:spPr>
    </xdr:pic>
    <xdr:clientData/>
  </xdr:twoCellAnchor>
  <xdr:twoCellAnchor editAs="oneCell">
    <xdr:from>
      <xdr:col>0</xdr:col>
      <xdr:colOff>600075</xdr:colOff>
      <xdr:row>92</xdr:row>
      <xdr:rowOff>38100</xdr:rowOff>
    </xdr:from>
    <xdr:to>
      <xdr:col>9</xdr:col>
      <xdr:colOff>36945</xdr:colOff>
      <xdr:row>100</xdr:row>
      <xdr:rowOff>161738</xdr:rowOff>
    </xdr:to>
    <xdr:pic>
      <xdr:nvPicPr>
        <xdr:cNvPr id="8" name="图片 7"/>
        <xdr:cNvPicPr>
          <a:picLocks noChangeAspect="1"/>
        </xdr:cNvPicPr>
      </xdr:nvPicPr>
      <xdr:blipFill>
        <a:blip xmlns:r="http://schemas.openxmlformats.org/officeDocument/2006/relationships" r:embed="rId6"/>
        <a:stretch>
          <a:fillRect/>
        </a:stretch>
      </xdr:blipFill>
      <xdr:spPr>
        <a:xfrm>
          <a:off x="600075" y="15811500"/>
          <a:ext cx="9238095" cy="1495238"/>
        </a:xfrm>
        <a:prstGeom prst="rect">
          <a:avLst/>
        </a:prstGeom>
      </xdr:spPr>
    </xdr:pic>
    <xdr:clientData/>
  </xdr:twoCellAnchor>
  <xdr:twoCellAnchor editAs="oneCell">
    <xdr:from>
      <xdr:col>0</xdr:col>
      <xdr:colOff>638175</xdr:colOff>
      <xdr:row>99</xdr:row>
      <xdr:rowOff>114300</xdr:rowOff>
    </xdr:from>
    <xdr:to>
      <xdr:col>9</xdr:col>
      <xdr:colOff>427426</xdr:colOff>
      <xdr:row>108</xdr:row>
      <xdr:rowOff>76012</xdr:rowOff>
    </xdr:to>
    <xdr:pic>
      <xdr:nvPicPr>
        <xdr:cNvPr id="9" name="图片 8"/>
        <xdr:cNvPicPr>
          <a:picLocks noChangeAspect="1"/>
        </xdr:cNvPicPr>
      </xdr:nvPicPr>
      <xdr:blipFill>
        <a:blip xmlns:r="http://schemas.openxmlformats.org/officeDocument/2006/relationships" r:embed="rId7"/>
        <a:stretch>
          <a:fillRect/>
        </a:stretch>
      </xdr:blipFill>
      <xdr:spPr>
        <a:xfrm>
          <a:off x="638175" y="17087850"/>
          <a:ext cx="9590476" cy="1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山东省潍坊市青州市胶王路北侧一宗商业、住宅用地出让国有建设用地使用权抵押价格预评估</v>
      </c>
      <c r="AX2" s="2849"/>
      <c r="AZ2" s="2849"/>
      <c r="BA2" s="2850"/>
      <c r="BC2" s="2850"/>
    </row>
    <row r="3" spans="1:55" s="2851" customFormat="1">
      <c r="A3" s="2830" t="s">
        <v>2659</v>
      </c>
      <c r="B3" s="2833" t="str">
        <f>'预评函-封皮'!B40</f>
        <v>中粮信托有限责任公司</v>
      </c>
    </row>
    <row r="4" spans="1:55" s="2832" customFormat="1">
      <c r="A4" s="2830" t="s">
        <v>2660</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受贵公司委托，我公司对山东省潍坊市青州市胶王路北侧一宗商业、住宅用地出让国有建设用地使用权抵押价格进行了预评估。</v>
      </c>
      <c r="AM6" s="2855"/>
    </row>
    <row r="7" spans="1:55" s="2829" customFormat="1">
      <c r="A7" s="2830" t="s">
        <v>2655</v>
      </c>
      <c r="B7" s="2831" t="str">
        <f>'预评函-1'!A6</f>
        <v>估价对象为使用的、位于山东省潍坊市青州市胶王路北侧一宗商业、住宅用地出让国有建设用地使用权。根据《国有土地使用证》[青国用（2011）第01011号]，估价对象（分摊）出让国有建设用地使用权面积为320191.1平方米。根据，估价对象规划建筑面积为704420.42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委托估价方在向金融机构（青州市宏源公有资产经营有限公司）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2657</v>
      </c>
      <c r="B10" s="2831" t="str">
        <f>'预评函-1'!A11</f>
        <v>2019年7月19日（评估专业人员勘察现场之日）</v>
      </c>
    </row>
    <row r="11" spans="1:55" s="2829" customFormat="1">
      <c r="A11" s="2830" t="s">
        <v>2663</v>
      </c>
      <c r="B11" s="2831" t="str">
        <f>'预评函-1'!A14</f>
        <v>根据《国有土地使用证》[]，本次评估估价对象证载（地类）用途为商住。</v>
      </c>
    </row>
    <row r="12" spans="1:55" s="2829" customFormat="1">
      <c r="A12" s="2830" t="s">
        <v>2664</v>
      </c>
      <c r="B12" s="2831" t="str">
        <f>'预评函-1'!A15</f>
        <v>本次评估设定用途即为证载用途。</v>
      </c>
    </row>
    <row r="13" spans="1:55" s="2829" customFormat="1">
      <c r="A13" s="2830" t="s">
        <v>2665</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根据《国有土地使用证》[青国用（2011）第01011号]，估价对象（分摊）出让国有建设用地使用权面积为320191.1平方米。根据，估价对象规划建筑面积为704420.42平方米。</v>
      </c>
    </row>
    <row r="16" spans="1:55" s="2829" customFormat="1">
      <c r="A16" s="2830" t="s">
        <v>2667</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2056年4月10日、商业2056年4月10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估价期日：2019年7月19日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商住</v>
      </c>
      <c r="AV32" s="2835"/>
    </row>
    <row r="33" spans="1:2">
      <c r="A33" s="2830" t="s">
        <v>2711</v>
      </c>
      <c r="B33" s="2831">
        <f>'预评函-2'!F5</f>
        <v>258</v>
      </c>
    </row>
    <row r="34" spans="1:2">
      <c r="A34" s="2830" t="s">
        <v>2712</v>
      </c>
      <c r="B34" s="2831">
        <f>'预评函-2'!G5</f>
        <v>0</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v>
      </c>
    </row>
    <row r="39" spans="1:2">
      <c r="A39" s="2830" t="s">
        <v>2717</v>
      </c>
      <c r="B39" s="2831" t="str">
        <f>'预评函-2'!L5</f>
        <v>红线外七通、宗地红线内场地</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320191.09999999998</v>
      </c>
    </row>
    <row r="44" spans="1:2">
      <c r="A44" s="2830" t="s">
        <v>2738</v>
      </c>
      <c r="B44" s="2831" t="str">
        <f>'预评函-2'!O3</f>
        <v>规划建筑面积/㎡</v>
      </c>
    </row>
    <row r="45" spans="1:2">
      <c r="A45" s="2830" t="s">
        <v>2720</v>
      </c>
      <c r="B45" s="2831">
        <f>'预评函-2'!O5</f>
        <v>704420.41999999993</v>
      </c>
    </row>
    <row r="46" spans="1:2">
      <c r="A46" s="2830" t="s">
        <v>2721</v>
      </c>
      <c r="B46" s="2831">
        <f ca="1">'预评函-2'!P5</f>
        <v>2220</v>
      </c>
    </row>
    <row r="47" spans="1:2">
      <c r="A47" s="2830" t="s">
        <v>2722</v>
      </c>
      <c r="B47" s="2831">
        <f ca="1">'预评函-2'!Q5</f>
        <v>1009</v>
      </c>
    </row>
    <row r="48" spans="1:2">
      <c r="A48" s="2830" t="s">
        <v>2723</v>
      </c>
      <c r="B48" s="2831">
        <f ca="1">'预评函-2'!R5</f>
        <v>71098</v>
      </c>
    </row>
    <row r="49" spans="1:2">
      <c r="A49" s="2830" t="s">
        <v>2739</v>
      </c>
      <c r="B49" s="2831" t="str">
        <f>'预评函-2'!A6</f>
        <v>抵押价格</v>
      </c>
    </row>
    <row r="50" spans="1:2">
      <c r="A50" s="2830" t="s">
        <v>2724</v>
      </c>
      <c r="B50" s="2831">
        <f ca="1">'预评函-2'!R6</f>
        <v>71098</v>
      </c>
    </row>
    <row r="51" spans="1:2">
      <c r="A51" s="2830" t="s">
        <v>2740</v>
      </c>
      <c r="B51" s="2831" t="str">
        <f>'预评函-2'!A7</f>
        <v>——</v>
      </c>
    </row>
    <row r="52" spans="1:2">
      <c r="A52" s="2830" t="s">
        <v>2725</v>
      </c>
      <c r="B52" s="2831" t="str">
        <f>'预评函-2'!R7</f>
        <v>——</v>
      </c>
    </row>
    <row r="53" spans="1:2">
      <c r="A53" s="2830" t="s">
        <v>2741</v>
      </c>
      <c r="B53" s="2831">
        <f>'预评函-2'!A8</f>
        <v>0</v>
      </c>
    </row>
    <row r="54" spans="1:2" s="2845" customFormat="1" ht="15" thickBot="1">
      <c r="A54" s="2852" t="s">
        <v>2726</v>
      </c>
      <c r="B54" s="2853" t="str">
        <f>'预评函-2'!R8</f>
        <v>——</v>
      </c>
    </row>
    <row r="55" spans="1:2" ht="15" thickTop="1">
      <c r="A55" s="2841" t="s">
        <v>2676</v>
      </c>
      <c r="B55" s="2842" t="str">
        <f>'预评函-3'!A2</f>
        <v>1.权利限制：根据估价对象《不动产权证书》、《国有土地使用权》原件，截至估价期日，估价对象抵押权未见登记。未设定租赁等其他他项权利。</v>
      </c>
    </row>
    <row r="56" spans="1:2">
      <c r="A56" s="2830" t="s">
        <v>2677</v>
      </c>
      <c r="B56" s="2831" t="str">
        <f>'预评函-3'!A3</f>
        <v>2.基础设施条件：估价对象实际开发程度为红线外七通、宗地红线内；本次评估设定开发程度为红线外七通、宗地红线内场地。</v>
      </c>
    </row>
    <row r="57" spans="1:2">
      <c r="A57" s="2830" t="s">
        <v>2678</v>
      </c>
      <c r="B57" s="2831" t="str">
        <f>'预评函-3'!A4</f>
        <v>3.估价规划限制条件：详见。</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（1）根据估价对象《不动产权证书》、《国有土地使用权》原件，截至估价期日，估价对象抵押权未见登记。</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王鹏</v>
      </c>
    </row>
    <row r="70" spans="1:2">
      <c r="A70" s="2830" t="s">
        <v>2688</v>
      </c>
      <c r="B70" s="2837">
        <f ca="1">'预评函-3'!B20</f>
        <v>2002110030</v>
      </c>
    </row>
    <row r="71" spans="1:2">
      <c r="A71" s="2830" t="s">
        <v>2689</v>
      </c>
      <c r="B71" s="2831" t="str">
        <f>'预评函-3'!A21</f>
        <v>郑燚</v>
      </c>
    </row>
    <row r="72" spans="1:2" s="2845" customFormat="1" ht="15" thickBot="1">
      <c r="A72" s="2852" t="s">
        <v>2689</v>
      </c>
      <c r="B72" s="2858">
        <f ca="1">'预评函-3'!B21</f>
        <v>2014110011</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1" sqref="D11"/>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50" t="str">
        <f>IF(B10="北京市","北京市",C10)&amp;F10&amp;B16&amp;"国有建设用地使用权"&amp;B9&amp;"预评估"</f>
        <v>山东省潍坊市青州市胶王路北侧一宗商业、住宅用地出让国有建设用地使用权抵押价格预评估</v>
      </c>
      <c r="C1" s="3251"/>
      <c r="D1" s="3251"/>
      <c r="E1" s="3251"/>
      <c r="F1" s="3251"/>
      <c r="G1" s="3251"/>
      <c r="H1" s="3251"/>
      <c r="I1" s="3252"/>
      <c r="J1" s="1675"/>
      <c r="K1" s="2416" t="str">
        <f>IF(B10="北京市","北京市",C10)&amp;F10&amp;B16&amp;"国有建设用地使用权"&amp;B9</f>
        <v>山东省潍坊市青州市胶王路北侧一宗商业、住宅用地出让国有建设用地使用权抵押价格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山东省潍坊市青州市胶王路北侧一宗商业、住宅用地出让国有建设用地使用权</v>
      </c>
      <c r="L2" s="1704"/>
      <c r="M2" s="1704"/>
      <c r="N2" s="1675"/>
      <c r="O2" s="1676"/>
      <c r="P2" s="1675"/>
      <c r="Q2" s="1675"/>
      <c r="R2" s="1675"/>
      <c r="S2" s="1675"/>
      <c r="T2" s="1675"/>
      <c r="U2" s="1675"/>
    </row>
    <row r="3" spans="1:21">
      <c r="A3" s="1642" t="s">
        <v>1939</v>
      </c>
      <c r="B3" s="1643">
        <v>43665</v>
      </c>
      <c r="C3" s="1644" t="s">
        <v>1995</v>
      </c>
      <c r="D3" s="1643">
        <f>B3</f>
        <v>43665</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3222</v>
      </c>
      <c r="C4" s="1827">
        <f ca="1">SUMIF(土地估价师,B4,估价师及机构信息!E3:E24)</f>
        <v>2002110030</v>
      </c>
      <c r="D4" s="1824" t="s">
        <v>3223</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1941</v>
      </c>
      <c r="B5" s="1770" t="s">
        <v>3233</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
        <v>3221</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2705</v>
      </c>
      <c r="B7" s="1770" t="s">
        <v>3221</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2994</v>
      </c>
      <c r="C8" s="1652"/>
      <c r="D8" s="3256" t="s">
        <v>1944</v>
      </c>
      <c r="E8" s="1825" t="s">
        <v>2995</v>
      </c>
      <c r="F8" s="1653"/>
      <c r="G8" s="1641"/>
      <c r="H8" s="1641"/>
      <c r="I8" s="1688"/>
      <c r="J8" s="1675"/>
      <c r="K8" s="1755"/>
      <c r="L8" s="1704"/>
      <c r="M8" s="1704"/>
      <c r="N8" s="1675"/>
      <c r="O8" s="1676"/>
      <c r="P8" s="1675"/>
      <c r="Q8" s="1675"/>
      <c r="R8" s="1675"/>
      <c r="S8" s="1675"/>
      <c r="T8" s="1675"/>
      <c r="U8" s="1675"/>
    </row>
    <row r="9" spans="1:21" ht="15" thickBot="1">
      <c r="A9" s="1654" t="s">
        <v>1943</v>
      </c>
      <c r="B9" s="1655" t="s">
        <v>2995</v>
      </c>
      <c r="C9" s="1656"/>
      <c r="D9" s="3257"/>
      <c r="E9" s="1655"/>
      <c r="F9" s="1728"/>
      <c r="G9" s="1723"/>
      <c r="H9" s="1723"/>
      <c r="I9" s="1724"/>
      <c r="J9" s="1675"/>
      <c r="K9" s="1755"/>
      <c r="L9" s="1704"/>
      <c r="M9" s="1704"/>
      <c r="N9" s="1675"/>
      <c r="O9" s="1676"/>
      <c r="P9" s="1675"/>
      <c r="Q9" s="1675"/>
      <c r="R9" s="1675"/>
      <c r="S9" s="1675"/>
      <c r="T9" s="1675"/>
      <c r="U9" s="1675"/>
    </row>
    <row r="10" spans="1:21" ht="15" thickTop="1">
      <c r="A10" s="1725" t="s">
        <v>1998</v>
      </c>
      <c r="B10" s="1700" t="s">
        <v>3224</v>
      </c>
      <c r="C10" s="1657" t="s">
        <v>3236</v>
      </c>
      <c r="D10" s="1648"/>
      <c r="E10" s="1658" t="s">
        <v>1946</v>
      </c>
      <c r="F10" s="1659" t="s">
        <v>3237</v>
      </c>
      <c r="G10" s="1726"/>
      <c r="H10" s="1727"/>
      <c r="I10" s="1648"/>
      <c r="J10" s="1675"/>
      <c r="K10" s="1755"/>
      <c r="L10" s="1704"/>
      <c r="M10" s="1704"/>
      <c r="N10" s="1675"/>
      <c r="O10" s="1676"/>
      <c r="P10" s="1675"/>
      <c r="Q10" s="1675"/>
      <c r="R10" s="1675"/>
      <c r="S10" s="1675"/>
      <c r="T10" s="1675"/>
      <c r="U10" s="1675"/>
    </row>
    <row r="11" spans="1:21">
      <c r="A11" s="1678" t="s">
        <v>1999</v>
      </c>
      <c r="B11" s="1679" t="s">
        <v>3225</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53" t="s">
        <v>3226</v>
      </c>
      <c r="C12" s="3254"/>
      <c r="D12" s="3255"/>
      <c r="E12" s="1680" t="s">
        <v>2060</v>
      </c>
      <c r="F12" s="3271" t="s">
        <v>2887</v>
      </c>
      <c r="G12" s="3272"/>
      <c r="H12" s="3272"/>
      <c r="I12" s="3273"/>
      <c r="J12" s="1675"/>
      <c r="K12" s="1755"/>
      <c r="L12" s="1704"/>
      <c r="M12" s="1704"/>
      <c r="N12" s="1675"/>
      <c r="O12" s="1676"/>
      <c r="P12" s="1675"/>
      <c r="Q12" s="1675"/>
      <c r="R12" s="1675"/>
      <c r="S12" s="1675"/>
      <c r="T12" s="1675"/>
      <c r="U12" s="1675"/>
    </row>
    <row r="13" spans="1:21">
      <c r="A13" s="1668" t="s">
        <v>2058</v>
      </c>
      <c r="B13" s="3253"/>
      <c r="C13" s="3254"/>
      <c r="D13" s="3255"/>
      <c r="E13" s="1680" t="s">
        <v>2060</v>
      </c>
      <c r="F13" s="3271" t="s">
        <v>2888</v>
      </c>
      <c r="G13" s="3272"/>
      <c r="H13" s="3272"/>
      <c r="I13" s="3273"/>
      <c r="J13" s="1675"/>
      <c r="K13" s="1755"/>
      <c r="L13" s="1704"/>
      <c r="M13" s="1704"/>
      <c r="N13" s="1675"/>
      <c r="O13" s="1676"/>
      <c r="P13" s="1675"/>
      <c r="Q13" s="1675"/>
      <c r="R13" s="1675"/>
      <c r="S13" s="1675"/>
      <c r="T13" s="1675"/>
      <c r="U13" s="1675"/>
    </row>
    <row r="14" spans="1:21">
      <c r="A14" s="1642" t="s">
        <v>2061</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7" t="s">
        <v>1949</v>
      </c>
      <c r="E16" s="1703" t="s">
        <v>2996</v>
      </c>
      <c r="F16" s="1703"/>
      <c r="G16" s="1703"/>
      <c r="H16" s="1703"/>
      <c r="I16" s="1667" t="s">
        <v>1954</v>
      </c>
      <c r="J16" s="1675"/>
      <c r="K16" s="2417" t="str">
        <f>IF(D17="","",D16&amp;TEXT(D17,"yyyy年m月d日;;"))</f>
        <v>住宅2056年4月10日</v>
      </c>
      <c r="L16" s="1680" t="str">
        <f>IF(OR(K16="",M16=""),"","、")</f>
        <v>、</v>
      </c>
      <c r="M16" s="2417" t="str">
        <f>IF(E17="","",E16&amp;TEXT(E17,"yyyy年m月d日;;"))</f>
        <v>商业2056年4月10日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57080</v>
      </c>
      <c r="E17" s="1681">
        <v>57080</v>
      </c>
      <c r="F17" s="1681"/>
      <c r="G17" s="1681"/>
      <c r="H17" s="1681"/>
      <c r="I17" s="1681"/>
      <c r="J17" s="1675"/>
      <c r="K17" s="2416" t="str">
        <f>CONCATENATE(K16,L16,M16,N16,O16,P16,Q16,R16,S16,T16,,U16)</f>
        <v>住宅2056年4月10日、商业2056年4月10日</v>
      </c>
      <c r="L17" s="1704"/>
      <c r="M17" s="1704"/>
      <c r="N17" s="1675"/>
      <c r="O17" s="1676"/>
      <c r="P17" s="1675"/>
      <c r="Q17" s="1675"/>
      <c r="R17" s="1675"/>
      <c r="S17" s="1675"/>
      <c r="T17" s="1675"/>
      <c r="U17" s="1675"/>
    </row>
    <row r="18" spans="1:21">
      <c r="A18" s="1744"/>
      <c r="B18" s="1663"/>
      <c r="C18" s="1664" t="s">
        <v>1956</v>
      </c>
      <c r="D18" s="1665">
        <v>50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36.75</v>
      </c>
      <c r="E19" s="1666">
        <f>IF(B16="出让",IF(E17="","",ROUNDDOWN(MIN((E17-$D$3)/365,E18),2)),E18)</f>
        <v>36.75</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268"/>
      <c r="E20" s="3269"/>
      <c r="F20" s="3269"/>
      <c r="G20" s="3269"/>
      <c r="H20" s="3269"/>
      <c r="I20" s="3270"/>
      <c r="J20" s="1675"/>
      <c r="K20" s="1755"/>
      <c r="L20" s="1704"/>
      <c r="M20" s="1704"/>
      <c r="N20" s="1675"/>
      <c r="O20" s="1676"/>
      <c r="P20" s="1675"/>
      <c r="Q20" s="1675"/>
      <c r="R20" s="1675"/>
      <c r="S20" s="1675"/>
      <c r="T20" s="1675"/>
      <c r="U20" s="1675"/>
    </row>
    <row r="21" spans="1:21">
      <c r="A21" s="1744" t="s">
        <v>1958</v>
      </c>
      <c r="B21" s="1745" t="s">
        <v>1959</v>
      </c>
      <c r="C21" s="1740">
        <f>'数据-汇总表'!E3</f>
        <v>704420.41999999993</v>
      </c>
      <c r="D21" s="1741" t="s">
        <v>1960</v>
      </c>
      <c r="E21" s="3258"/>
      <c r="F21" s="3259"/>
      <c r="G21" s="3259"/>
      <c r="H21" s="3259"/>
      <c r="I21" s="3260"/>
      <c r="J21" s="1675"/>
      <c r="K21" s="1755"/>
      <c r="L21" s="1704"/>
      <c r="M21" s="1704"/>
      <c r="N21" s="1675"/>
      <c r="O21" s="1676"/>
      <c r="P21" s="1675"/>
      <c r="Q21" s="1675"/>
      <c r="R21" s="1675"/>
      <c r="S21" s="1675"/>
      <c r="T21" s="1675"/>
      <c r="U21" s="1675"/>
    </row>
    <row r="22" spans="1:21">
      <c r="A22" s="3094" t="s">
        <v>952</v>
      </c>
      <c r="B22" s="1642" t="s">
        <v>1961</v>
      </c>
      <c r="C22" s="1667">
        <f>'数据-汇总表'!D3</f>
        <v>320191.09999999998</v>
      </c>
      <c r="D22" s="1668" t="s">
        <v>1960</v>
      </c>
      <c r="E22" s="3258" t="s">
        <v>3235</v>
      </c>
      <c r="F22" s="3259"/>
      <c r="G22" s="3259"/>
      <c r="H22" s="3259"/>
      <c r="I22" s="3260"/>
      <c r="J22" s="1675"/>
      <c r="K22" s="1755"/>
      <c r="L22" s="1704"/>
      <c r="M22" s="1704"/>
      <c r="N22" s="1675"/>
      <c r="O22" s="1676"/>
      <c r="P22" s="1675"/>
      <c r="Q22" s="1675"/>
      <c r="R22" s="1675"/>
      <c r="S22" s="1675"/>
      <c r="T22" s="1675"/>
      <c r="U22" s="1675"/>
    </row>
    <row r="23" spans="1:21" ht="43.5" thickBot="1">
      <c r="A23" s="1746" t="s">
        <v>1962</v>
      </c>
      <c r="B23" s="1682" t="s">
        <v>1963</v>
      </c>
      <c r="C23" s="1683" t="s">
        <v>3234</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61" t="s">
        <v>1966</v>
      </c>
      <c r="C24" s="3262"/>
      <c r="D24" s="3263" t="s">
        <v>1967</v>
      </c>
      <c r="E24" s="3264"/>
      <c r="F24" s="1689" t="s">
        <v>1968</v>
      </c>
      <c r="G24" s="1675"/>
      <c r="H24" s="1675"/>
      <c r="I24" s="1688"/>
      <c r="J24" s="1675"/>
      <c r="K24" s="3249" t="s">
        <v>1969</v>
      </c>
      <c r="L24" s="2418"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04"/>
      <c r="N24" s="1675"/>
      <c r="O24" s="1676"/>
      <c r="P24" s="1675"/>
      <c r="Q24" s="1675"/>
      <c r="R24" s="1675"/>
      <c r="S24" s="1675"/>
      <c r="T24" s="1675"/>
      <c r="U24" s="1675"/>
    </row>
    <row r="25" spans="1:21" ht="28.5">
      <c r="A25" s="1732"/>
      <c r="B25" s="1729" t="s">
        <v>2324</v>
      </c>
      <c r="C25" s="1690"/>
      <c r="D25" s="1691"/>
      <c r="E25" s="1692" t="s">
        <v>952</v>
      </c>
      <c r="F25" s="1693"/>
      <c r="G25" s="1675"/>
      <c r="H25" s="1675"/>
      <c r="I25" s="1688"/>
      <c r="J25" s="1675"/>
      <c r="K25" s="3249"/>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1971</v>
      </c>
      <c r="C26" s="1690" t="s">
        <v>1970</v>
      </c>
      <c r="D26" s="1641"/>
      <c r="E26" s="1641"/>
      <c r="F26" s="1669"/>
      <c r="G26" s="1675"/>
      <c r="H26" s="1675"/>
      <c r="I26" s="1688"/>
      <c r="J26" s="1675"/>
      <c r="K26" s="3249"/>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235" t="s">
        <v>2000</v>
      </c>
      <c r="B31" s="1745" t="s">
        <v>2001</v>
      </c>
      <c r="C31" s="3274"/>
      <c r="D31" s="3275"/>
      <c r="E31" s="1675"/>
      <c r="F31" s="1675"/>
      <c r="G31" s="1675"/>
      <c r="H31" s="1675"/>
      <c r="I31" s="1688"/>
      <c r="J31" s="1675"/>
      <c r="K31" s="2419"/>
      <c r="L31" s="1675"/>
      <c r="M31" s="1675"/>
      <c r="N31" s="1675"/>
      <c r="O31" s="1675"/>
      <c r="P31" s="1675"/>
      <c r="Q31" s="1675"/>
      <c r="R31" s="1675"/>
      <c r="S31" s="1675"/>
      <c r="T31" s="1675"/>
      <c r="U31" s="1675"/>
    </row>
    <row r="32" spans="1:21">
      <c r="A32" s="3235"/>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35"/>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36"/>
      <c r="B34" s="1642" t="s">
        <v>2004</v>
      </c>
      <c r="C34" s="3237"/>
      <c r="D34" s="3238"/>
      <c r="E34" s="1675"/>
      <c r="F34" s="1675"/>
      <c r="G34" s="1675"/>
      <c r="H34" s="1675"/>
      <c r="I34" s="1688"/>
      <c r="J34" s="1675"/>
      <c r="K34" s="2419"/>
      <c r="L34" s="1675"/>
      <c r="M34" s="1675"/>
      <c r="N34" s="1675"/>
      <c r="O34" s="1675"/>
      <c r="P34" s="1675"/>
      <c r="Q34" s="1675"/>
      <c r="R34" s="1675"/>
      <c r="S34" s="1675"/>
      <c r="T34" s="1675"/>
      <c r="U34" s="1675"/>
    </row>
    <row r="35" spans="1:21">
      <c r="A35" s="3239" t="s">
        <v>847</v>
      </c>
      <c r="B35" s="1703"/>
      <c r="C35" s="1757" t="str">
        <f>IF(B35="场地平整","——","具体情况：")</f>
        <v>具体情况：</v>
      </c>
      <c r="D35" s="3241"/>
      <c r="E35" s="3242"/>
      <c r="F35" s="3242"/>
      <c r="G35" s="3242"/>
      <c r="H35" s="3242"/>
      <c r="I35" s="3243"/>
      <c r="J35" s="1675"/>
      <c r="K35" s="1756"/>
      <c r="L35" s="1704"/>
      <c r="M35" s="1704"/>
      <c r="N35" s="1675"/>
      <c r="O35" s="1676"/>
      <c r="P35" s="1675"/>
      <c r="Q35" s="1675"/>
      <c r="R35" s="1675"/>
      <c r="S35" s="1675"/>
      <c r="T35" s="1675"/>
      <c r="U35" s="1675"/>
    </row>
    <row r="36" spans="1:21">
      <c r="A36" s="3235"/>
      <c r="B36" s="3244" t="s">
        <v>2053</v>
      </c>
      <c r="C36" s="3245"/>
      <c r="D36" s="1773"/>
      <c r="E36" s="3246"/>
      <c r="F36" s="3246"/>
      <c r="G36" s="1668" t="str">
        <f>IF(B35="场地未平整","估价结果处理","")</f>
        <v/>
      </c>
      <c r="H36" s="3247"/>
      <c r="I36" s="3247"/>
      <c r="J36" s="1675"/>
      <c r="K36" s="1756"/>
      <c r="L36" s="1704"/>
      <c r="M36" s="1704"/>
      <c r="N36" s="1675"/>
      <c r="O36" s="1676"/>
      <c r="P36" s="1675"/>
      <c r="Q36" s="1675"/>
      <c r="R36" s="1675"/>
      <c r="S36" s="1675"/>
      <c r="T36" s="1675"/>
      <c r="U36" s="1675"/>
    </row>
    <row r="37" spans="1:21" ht="28.5">
      <c r="A37" s="3235"/>
      <c r="B37" s="3265"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35"/>
      <c r="B38" s="3266"/>
      <c r="C38" s="1650" t="s">
        <v>850</v>
      </c>
      <c r="D38" s="1772">
        <f>ROUNDDOWN(MIN(('数据-取费表'!$B$2-D37)/365,D34),1)</f>
        <v>119.6</v>
      </c>
      <c r="E38" s="1708" t="s">
        <v>851</v>
      </c>
      <c r="F38" s="1675"/>
      <c r="G38" s="1675"/>
      <c r="H38" s="1675"/>
      <c r="I38" s="1688"/>
      <c r="J38" s="1675"/>
      <c r="K38" s="1756"/>
      <c r="L38" s="1675"/>
      <c r="M38" s="1675"/>
      <c r="N38" s="1675"/>
      <c r="O38" s="1675"/>
      <c r="P38" s="1675"/>
      <c r="Q38" s="1675"/>
      <c r="R38" s="1675"/>
      <c r="S38" s="1675"/>
      <c r="T38" s="1675"/>
      <c r="U38" s="1675"/>
    </row>
    <row r="39" spans="1:21">
      <c r="A39" s="3236"/>
      <c r="B39" s="3267"/>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48" t="s">
        <v>1985</v>
      </c>
      <c r="T40" s="1712" t="str">
        <f>NUMBERSTRING(7-K40,1)&amp;"通"</f>
        <v>七通</v>
      </c>
      <c r="U40" s="1675"/>
    </row>
    <row r="41" spans="1:21">
      <c r="A41" s="1644"/>
      <c r="B41" s="3240" t="s">
        <v>1721</v>
      </c>
      <c r="C41" s="3240"/>
      <c r="D41" s="3240"/>
      <c r="E41" s="3240"/>
      <c r="F41" s="1713" t="str">
        <f>C10</f>
        <v>山东省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8"/>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2889</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2331</v>
      </c>
      <c r="BA2" s="2322"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320191.09999999998</v>
      </c>
      <c r="B3" s="22">
        <f>IF(C3="否",G5-AT5,G5)</f>
        <v>704420.41999999993</v>
      </c>
      <c r="C3" s="23" t="s">
        <v>1678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704420.41999999993</v>
      </c>
      <c r="H5" s="27">
        <f t="shared" ref="H5:AT5" si="0">SUM(H13:H641)</f>
        <v>704420.41999999993</v>
      </c>
      <c r="I5" s="27">
        <f t="shared" si="0"/>
        <v>422652.25199999998</v>
      </c>
      <c r="J5" s="27">
        <f t="shared" si="0"/>
        <v>0</v>
      </c>
      <c r="K5" s="27">
        <f t="shared" si="0"/>
        <v>281768.16800000001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704420.41999999993</v>
      </c>
      <c r="BA5" s="29">
        <f t="shared" si="1"/>
        <v>704420.41999999993</v>
      </c>
      <c r="BB5" s="29">
        <f t="shared" si="1"/>
        <v>422652.25199999998</v>
      </c>
      <c r="BC5" s="29">
        <f t="shared" si="1"/>
        <v>281768.16800000001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320191.09999999998</v>
      </c>
      <c r="F6" s="27" t="s">
        <v>1</v>
      </c>
      <c r="G6" s="27" t="s">
        <v>2</v>
      </c>
      <c r="H6" s="33">
        <f>SUMIF(I$12:AB$12,"总值",I6:AB6)</f>
        <v>320191.09999999998</v>
      </c>
      <c r="I6" s="27">
        <f t="shared" ref="I6:AB6" si="2">ROUND($A$3*I5/$B$3,2)</f>
        <v>192114.66</v>
      </c>
      <c r="J6" s="27">
        <f t="shared" si="2"/>
        <v>0</v>
      </c>
      <c r="K6" s="27">
        <f t="shared" si="2"/>
        <v>128076.44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320191.09999999998</v>
      </c>
      <c r="AZ6" s="27" t="s">
        <v>3</v>
      </c>
      <c r="BA6" s="27">
        <f>ROUND($AY$6*BA5/$AZ$5,2)</f>
        <v>320191.09999999998</v>
      </c>
      <c r="BB6" s="27">
        <f>ROUND($AY$6*BB5/$AZ$5,2)</f>
        <v>192114.66</v>
      </c>
      <c r="BC6" s="27">
        <f t="shared" ref="BC6:BH6" si="4">ROUND($AY$6*BC5/$AZ$5,2)</f>
        <v>128076.44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8" t="s">
        <v>2997</v>
      </c>
      <c r="J9" s="51"/>
      <c r="K9" s="2968" t="s">
        <v>2997</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8" t="s">
        <v>923</v>
      </c>
      <c r="J10" s="51"/>
      <c r="K10" s="2970" t="s">
        <v>2996</v>
      </c>
      <c r="L10" s="51"/>
      <c r="M10" s="2970"/>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2329</v>
      </c>
      <c r="AK10" s="2315"/>
      <c r="AL10" s="2296" t="s">
        <v>2318</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2328</v>
      </c>
      <c r="AE11" s="999"/>
      <c r="AF11" s="2316" t="s">
        <v>2328</v>
      </c>
      <c r="AG11" s="999"/>
      <c r="AH11" s="2316" t="s">
        <v>2327</v>
      </c>
      <c r="AI11" s="2317"/>
      <c r="AJ11" s="2316" t="s">
        <v>2327</v>
      </c>
      <c r="AK11" s="2315"/>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3"/>
      <c r="B13" s="2963"/>
      <c r="C13" s="2963" t="s">
        <v>2998</v>
      </c>
      <c r="D13" s="2964" t="s">
        <v>1678</v>
      </c>
      <c r="E13" s="27">
        <f t="shared" ref="E13:E20" si="6">IF($C$3="是",ROUND($A$3*G13/$B$3,2),ROUND($A$3*(G13-AT13)/$B$3,2))</f>
        <v>192114.66</v>
      </c>
      <c r="F13" s="81"/>
      <c r="G13" s="82">
        <f t="shared" ref="G13:G20" si="7">H13+AC13+AT13</f>
        <v>422652.25199999998</v>
      </c>
      <c r="H13" s="33">
        <f t="shared" ref="H13:H20" si="8">SUMIF(I$12:AB$12,"总值",I13:AB13)</f>
        <v>422652.25199999998</v>
      </c>
      <c r="I13" s="2967">
        <f>Sheet1!C7</f>
        <v>422652.25199999998</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住宅</v>
      </c>
      <c r="AY13" s="993">
        <f t="shared" ref="AY13:AY20" si="11">ROUND($AY$6*AZ13/$AZ$5,2)</f>
        <v>192114.66</v>
      </c>
      <c r="AZ13" s="27">
        <f t="shared" ref="AZ13:AZ20" si="12">BA13+BL13</f>
        <v>422652.25199999998</v>
      </c>
      <c r="BA13" s="27">
        <f t="shared" ref="BA13:BA20" si="13">SUM(BB13:BK13)</f>
        <v>422652.25199999998</v>
      </c>
      <c r="BB13" s="27">
        <f t="shared" ref="BB13:BB20" si="14">IF($D13="是",I13-J13,0)</f>
        <v>422652.25199999998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3" t="s">
        <v>2999</v>
      </c>
      <c r="D14" s="2964" t="s">
        <v>1678</v>
      </c>
      <c r="E14" s="27">
        <f t="shared" si="6"/>
        <v>128076.44</v>
      </c>
      <c r="F14" s="81"/>
      <c r="G14" s="82">
        <f t="shared" si="7"/>
        <v>281768.16800000001</v>
      </c>
      <c r="H14" s="33">
        <f t="shared" si="8"/>
        <v>281768.16800000001</v>
      </c>
      <c r="I14" s="2967"/>
      <c r="J14" s="2967"/>
      <c r="K14" s="2967">
        <f>Sheet1!C6</f>
        <v>281768.16800000001</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商业</v>
      </c>
      <c r="AY14" s="993">
        <f t="shared" si="11"/>
        <v>128076.44</v>
      </c>
      <c r="AZ14" s="27">
        <f t="shared" si="12"/>
        <v>281768.16800000001</v>
      </c>
      <c r="BA14" s="27">
        <f t="shared" si="13"/>
        <v>281768.16800000001</v>
      </c>
      <c r="BB14" s="27">
        <f t="shared" si="14"/>
        <v>0</v>
      </c>
      <c r="BC14" s="27">
        <f t="shared" si="15"/>
        <v>281768.16800000001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0" sqref="K10"/>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7" t="s">
        <v>203</v>
      </c>
      <c r="B2" s="3287"/>
      <c r="C2" s="3287"/>
      <c r="D2" s="1957" t="s">
        <v>204</v>
      </c>
      <c r="E2" s="106" t="s">
        <v>205</v>
      </c>
      <c r="F2" s="1966"/>
      <c r="G2" s="1191"/>
      <c r="H2" s="1192"/>
      <c r="I2" s="1193" t="s">
        <v>857</v>
      </c>
      <c r="J2" s="1966"/>
      <c r="K2" s="1966"/>
      <c r="L2" s="1966"/>
    </row>
    <row r="3" spans="1:16" ht="15.75" thickBot="1">
      <c r="A3" s="3288" t="s">
        <v>206</v>
      </c>
      <c r="B3" s="3288"/>
      <c r="C3" s="3288"/>
      <c r="D3" s="107">
        <f>'数据-基础表'!AY6</f>
        <v>320191.09999999998</v>
      </c>
      <c r="E3" s="107">
        <f>'数据-基础表'!AZ5</f>
        <v>704420.41999999993</v>
      </c>
      <c r="F3" s="1966"/>
      <c r="G3" s="278" t="s">
        <v>858</v>
      </c>
      <c r="H3" s="273" t="s">
        <v>859</v>
      </c>
      <c r="I3" s="1958">
        <f>ROUND('数据-基础表'!B3/'数据-基础表'!A3,2)</f>
        <v>2.2000000000000002</v>
      </c>
      <c r="J3" s="1966"/>
      <c r="K3" s="1966"/>
      <c r="L3" s="1966"/>
    </row>
    <row r="4" spans="1:16" ht="15">
      <c r="A4" s="3289"/>
      <c r="B4" s="3290"/>
      <c r="C4" s="3291"/>
      <c r="D4" s="108" t="s">
        <v>204</v>
      </c>
      <c r="E4" s="109" t="s">
        <v>205</v>
      </c>
      <c r="F4" s="1966"/>
      <c r="G4" s="1194"/>
      <c r="H4" s="273" t="s">
        <v>860</v>
      </c>
      <c r="I4" s="1958">
        <f>ROUND(SUMIF('数据-基础表'!I9:AS9,"地上",'数据-基础表'!I5:AS5)/'数据-基础表'!A3,2)</f>
        <v>2.2000000000000002</v>
      </c>
      <c r="J4" s="1966"/>
      <c r="K4" s="1966"/>
      <c r="L4" s="1966"/>
    </row>
    <row r="5" spans="1:16">
      <c r="A5" s="110" t="s">
        <v>207</v>
      </c>
      <c r="B5" s="3292" t="s">
        <v>230</v>
      </c>
      <c r="C5" s="3292"/>
      <c r="D5" s="111">
        <f>ROUND($D$3*E5/$E$3,2)</f>
        <v>192114.66</v>
      </c>
      <c r="E5" s="112">
        <f>SUMIF('数据-基础表'!$11:$11,"住宅",'数据-基础表'!$5:$5)</f>
        <v>422652.25199999998</v>
      </c>
      <c r="F5" s="1966"/>
      <c r="G5" s="278" t="s">
        <v>861</v>
      </c>
      <c r="H5" s="273" t="s">
        <v>859</v>
      </c>
      <c r="I5" s="1958">
        <f>ROUND(E31/D31,2)</f>
        <v>2.2000000000000002</v>
      </c>
      <c r="J5" s="1966"/>
      <c r="K5" s="1966"/>
      <c r="L5" s="1966"/>
    </row>
    <row r="6" spans="1:16" ht="15" thickBot="1">
      <c r="A6" s="113"/>
      <c r="B6" s="3292" t="s">
        <v>208</v>
      </c>
      <c r="C6" s="3292"/>
      <c r="D6" s="111">
        <f>ROUND($D$3*E6/$E$3,2)</f>
        <v>128076.44</v>
      </c>
      <c r="E6" s="112">
        <f>E3-E5</f>
        <v>281768.16799999995</v>
      </c>
      <c r="F6" s="1966"/>
      <c r="G6" s="1194"/>
      <c r="H6" s="273" t="s">
        <v>860</v>
      </c>
      <c r="I6" s="1958">
        <f>ROUND(F31/D31,2)</f>
        <v>2.2000000000000002</v>
      </c>
      <c r="J6" s="1966"/>
      <c r="K6" s="1966"/>
      <c r="L6" s="1966"/>
    </row>
    <row r="7" spans="1:16" ht="15">
      <c r="A7" s="3284"/>
      <c r="B7" s="3285"/>
      <c r="C7" s="3286"/>
      <c r="D7" s="108" t="s">
        <v>204</v>
      </c>
      <c r="E7" s="114" t="s">
        <v>231</v>
      </c>
      <c r="F7" s="1966"/>
      <c r="G7" s="1149" t="s">
        <v>1645</v>
      </c>
      <c r="H7" s="1150"/>
      <c r="I7" s="1828">
        <v>2.2000000000000002</v>
      </c>
      <c r="J7" s="1966"/>
      <c r="K7" s="1966"/>
      <c r="L7" s="1966"/>
    </row>
    <row r="8" spans="1:16">
      <c r="A8" s="110" t="s">
        <v>209</v>
      </c>
      <c r="B8" s="115" t="s">
        <v>210</v>
      </c>
      <c r="C8" s="111" t="s">
        <v>211</v>
      </c>
      <c r="D8" s="111">
        <f t="shared" ref="D8:D15" si="0">ROUND($D$3*E8/$E$3,2)</f>
        <v>320191.09999999998</v>
      </c>
      <c r="E8" s="116">
        <f>SUMIF('数据-基础表'!BB10:BK10,"地上",'数据-基础表'!BB5:BK5)</f>
        <v>704420.41999999993</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320191.09999999998</v>
      </c>
      <c r="E16" s="120">
        <f>SUM(E8:E15)</f>
        <v>704420.41999999993</v>
      </c>
      <c r="F16" s="1966"/>
      <c r="G16" s="1968"/>
      <c r="H16" s="965" t="s">
        <v>219</v>
      </c>
      <c r="I16" s="966"/>
      <c r="J16" s="1966"/>
      <c r="K16" s="3278" t="s">
        <v>2564</v>
      </c>
      <c r="L16" s="3279"/>
      <c r="M16" s="3279"/>
      <c r="N16" s="3279"/>
      <c r="O16" s="3279"/>
      <c r="P16" s="3280"/>
    </row>
    <row r="17" spans="1:19" ht="15">
      <c r="A17" s="121" t="s">
        <v>216</v>
      </c>
      <c r="B17" s="122" t="s">
        <v>217</v>
      </c>
      <c r="C17" s="2280" t="s">
        <v>2312</v>
      </c>
      <c r="D17" s="108" t="s">
        <v>204</v>
      </c>
      <c r="E17" s="124" t="s">
        <v>205</v>
      </c>
      <c r="F17" s="125"/>
      <c r="G17" s="1359"/>
      <c r="H17" s="967" t="s">
        <v>218</v>
      </c>
      <c r="I17" s="968" t="s">
        <v>2311</v>
      </c>
      <c r="J17" s="1966"/>
      <c r="K17" s="3281" t="s">
        <v>2565</v>
      </c>
      <c r="L17" s="3282"/>
      <c r="M17" s="3283"/>
      <c r="N17" s="3281" t="s">
        <v>2566</v>
      </c>
      <c r="O17" s="3282"/>
      <c r="P17" s="3283"/>
      <c r="R17" s="2281" t="s">
        <v>2310</v>
      </c>
      <c r="S17" s="144"/>
    </row>
    <row r="18" spans="1:19" ht="15">
      <c r="A18" s="117"/>
      <c r="B18" s="128"/>
      <c r="C18" s="129"/>
      <c r="D18" s="2603"/>
      <c r="E18" s="130" t="s">
        <v>220</v>
      </c>
      <c r="F18" s="131" t="s">
        <v>221</v>
      </c>
      <c r="G18" s="1360" t="s">
        <v>222</v>
      </c>
      <c r="H18" s="969" t="s">
        <v>223</v>
      </c>
      <c r="I18" s="970" t="s">
        <v>224</v>
      </c>
      <c r="J18" s="1966"/>
      <c r="K18" s="2566" t="s">
        <v>2567</v>
      </c>
      <c r="L18" s="2567" t="s">
        <v>2568</v>
      </c>
      <c r="M18" s="2568" t="s">
        <v>2569</v>
      </c>
      <c r="N18" s="2566" t="s">
        <v>2567</v>
      </c>
      <c r="O18" s="2567" t="s">
        <v>2568</v>
      </c>
      <c r="P18" s="2568" t="s">
        <v>2569</v>
      </c>
      <c r="R18" s="2282" t="s">
        <v>2308</v>
      </c>
      <c r="S18" s="2282" t="s">
        <v>2309</v>
      </c>
    </row>
    <row r="19" spans="1:19">
      <c r="A19" s="133"/>
      <c r="B19" s="115" t="s">
        <v>225</v>
      </c>
      <c r="C19" s="2974" t="s">
        <v>3015</v>
      </c>
      <c r="D19" s="111">
        <f t="shared" ref="D19:D26" si="1">ROUND($D$3*E19/$E$3,2)</f>
        <v>192114.66</v>
      </c>
      <c r="E19" s="134">
        <f t="shared" ref="E19:E26" si="2">SUM(F19:G19)</f>
        <v>422652.25199999998</v>
      </c>
      <c r="F19" s="135">
        <f>'数据-基础表'!I13</f>
        <v>422652.25199999998</v>
      </c>
      <c r="G19" s="1361"/>
      <c r="H19" s="971">
        <f>ROUND($D$3*I19/$E$3,2)</f>
        <v>0</v>
      </c>
      <c r="I19" s="116">
        <f>IF($I$17="自定义",P19,M19)</f>
        <v>0</v>
      </c>
      <c r="J19" s="1966"/>
      <c r="K19" s="2569">
        <f t="shared" ref="K19:K26" si="3">ROUND(E$28*E19/E$27,2)</f>
        <v>0</v>
      </c>
      <c r="L19" s="273">
        <f t="shared" ref="L19:L26" si="4">ROUND(IF(COUNTIF(C19,"*住宅*")&gt;0,E$29*E19/E$32,0),2)</f>
        <v>0</v>
      </c>
      <c r="M19" s="2570">
        <f>K19+L19</f>
        <v>0</v>
      </c>
      <c r="N19" s="2571"/>
      <c r="O19" s="2572"/>
      <c r="P19" s="2573">
        <f>N19+O19</f>
        <v>0</v>
      </c>
      <c r="R19" s="273">
        <f t="shared" ref="R19:S26" si="5">D19+H19</f>
        <v>192114.66</v>
      </c>
      <c r="S19" s="2283">
        <f t="shared" si="5"/>
        <v>422652.25199999998</v>
      </c>
    </row>
    <row r="20" spans="1:19">
      <c r="A20" s="138"/>
      <c r="B20" s="115" t="s">
        <v>226</v>
      </c>
      <c r="C20" s="2974" t="s">
        <v>3016</v>
      </c>
      <c r="D20" s="111">
        <f t="shared" si="1"/>
        <v>128076.44</v>
      </c>
      <c r="E20" s="134">
        <f t="shared" si="2"/>
        <v>281768.16800000001</v>
      </c>
      <c r="F20" s="135">
        <f>'数据-基础表'!K14</f>
        <v>281768.16800000001</v>
      </c>
      <c r="G20" s="1361"/>
      <c r="H20" s="971">
        <f t="shared" ref="H20:H26" si="6">ROUND($D$3*I20/$E$3,2)</f>
        <v>0</v>
      </c>
      <c r="I20" s="116">
        <f t="shared" ref="I20:I26" si="7">IF($I$17="自定义",P20,M20)</f>
        <v>0</v>
      </c>
      <c r="J20" s="1966"/>
      <c r="K20" s="2569">
        <f t="shared" si="3"/>
        <v>0</v>
      </c>
      <c r="L20" s="273">
        <f t="shared" si="4"/>
        <v>0</v>
      </c>
      <c r="M20" s="2570">
        <f t="shared" ref="M20:M26" si="8">K20+L20</f>
        <v>0</v>
      </c>
      <c r="N20" s="2571"/>
      <c r="O20" s="2572"/>
      <c r="P20" s="2573">
        <f t="shared" ref="P20:P26" si="9">N20+O20</f>
        <v>0</v>
      </c>
      <c r="R20" s="273">
        <f t="shared" si="5"/>
        <v>128076.44</v>
      </c>
      <c r="S20" s="2283">
        <f t="shared" si="5"/>
        <v>281768.16800000001</v>
      </c>
    </row>
    <row r="21" spans="1:19">
      <c r="A21" s="138"/>
      <c r="B21" s="115" t="s">
        <v>226</v>
      </c>
      <c r="C21" s="2974"/>
      <c r="D21" s="111">
        <f t="shared" si="1"/>
        <v>0</v>
      </c>
      <c r="E21" s="134">
        <f t="shared" si="2"/>
        <v>0</v>
      </c>
      <c r="F21" s="135"/>
      <c r="G21" s="1361"/>
      <c r="H21" s="971">
        <f t="shared" si="6"/>
        <v>0</v>
      </c>
      <c r="I21" s="116">
        <f t="shared" si="7"/>
        <v>0</v>
      </c>
      <c r="J21" s="1966"/>
      <c r="K21" s="2569">
        <f t="shared" si="3"/>
        <v>0</v>
      </c>
      <c r="L21" s="273">
        <f t="shared" si="4"/>
        <v>0</v>
      </c>
      <c r="M21" s="2570">
        <f t="shared" si="8"/>
        <v>0</v>
      </c>
      <c r="N21" s="2571"/>
      <c r="O21" s="2572"/>
      <c r="P21" s="2573">
        <f t="shared" si="9"/>
        <v>0</v>
      </c>
      <c r="R21" s="273">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3">
        <f t="shared" si="4"/>
        <v>0</v>
      </c>
      <c r="M22" s="2570">
        <f t="shared" si="8"/>
        <v>0</v>
      </c>
      <c r="N22" s="2571"/>
      <c r="O22" s="2572"/>
      <c r="P22" s="2573">
        <f t="shared" si="9"/>
        <v>0</v>
      </c>
      <c r="R22" s="273">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8">
        <f t="shared" si="4"/>
        <v>0</v>
      </c>
      <c r="M26" s="146">
        <f t="shared" si="8"/>
        <v>0</v>
      </c>
      <c r="N26" s="2575"/>
      <c r="O26" s="2576"/>
      <c r="P26" s="2577">
        <f t="shared" si="9"/>
        <v>0</v>
      </c>
      <c r="R26" s="273">
        <f t="shared" si="5"/>
        <v>0</v>
      </c>
      <c r="S26" s="2283">
        <f t="shared" si="5"/>
        <v>0</v>
      </c>
    </row>
    <row r="27" spans="1:19" ht="15.75" thickBot="1">
      <c r="A27" s="138"/>
      <c r="B27" s="111"/>
      <c r="C27" s="127" t="s">
        <v>215</v>
      </c>
      <c r="D27" s="134">
        <f>SUM(D19:D26)</f>
        <v>320191.09999999998</v>
      </c>
      <c r="E27" s="143">
        <f>IF(SUM(E19:E26)='数据-基础表'!BA5,SUM(E19:E26),IF(F27="地上面积有误","面积有误","地下面积有误"))</f>
        <v>704420.41999999993</v>
      </c>
      <c r="F27" s="134">
        <f>IF(SUM(F19:F26)=E8,SUM(F19:F26),"地上面积有误")</f>
        <v>704420.41999999993</v>
      </c>
      <c r="G27" s="112">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320191.09999999998</v>
      </c>
      <c r="S27" s="273">
        <f>IF(SUM(S19:S26)=$E$3,SUM(S19:S26),SUM(S19:S26)&amp;"误差"&amp;ROUND(SUM(S19:S26)-E3,2))</f>
        <v>704420.41999999993</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2319</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2321</v>
      </c>
      <c r="D31" s="1365">
        <f>D27+D30</f>
        <v>320191.09999999998</v>
      </c>
      <c r="E31" s="1365">
        <f>E27+E30</f>
        <v>704420.41999999993</v>
      </c>
      <c r="F31" s="1366">
        <f>F27+F30</f>
        <v>704420.41999999993</v>
      </c>
      <c r="G31" s="1367">
        <f>G27+G30</f>
        <v>0</v>
      </c>
      <c r="H31" s="1966"/>
      <c r="I31" s="1966"/>
      <c r="J31" s="1966"/>
      <c r="K31" s="1966"/>
      <c r="L31" s="1966"/>
    </row>
    <row r="32" spans="1:19">
      <c r="A32" s="1966"/>
      <c r="B32" s="2324" t="s">
        <v>2320</v>
      </c>
      <c r="C32" s="2608"/>
      <c r="D32" s="1194"/>
      <c r="E32" s="1194">
        <f>SUMIF(C19:C26,"*住宅*",E19:E26)</f>
        <v>422652.25199999998</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43665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40.5">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2826</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住宅</v>
      </c>
      <c r="B6" s="2319" t="str">
        <f>IF(A6=0,"","经营性")</f>
        <v>经营性</v>
      </c>
      <c r="C6" s="173" t="s">
        <v>923</v>
      </c>
      <c r="D6" s="2290">
        <f>SUMIF(项目基本情况!D$15:I$15,C6,项目基本情况!D$18:I$18)</f>
        <v>50</v>
      </c>
      <c r="E6" s="2291">
        <f>IF(B6="","",SUMIF(项目基本情况!D$15:I$15,C6,项目基本情况!D$17:I$17))</f>
        <v>57080</v>
      </c>
      <c r="F6" s="174">
        <f>SUMIF(项目基本情况!D$15:I$15,C6,项目基本情况!D$19:I$19)</f>
        <v>36.75</v>
      </c>
      <c r="G6" s="175">
        <f>IF(ISERROR(ROUND(POWER(1+H6,D6-F6)*(POWER(1+H6,F6)-1)/(POWER(1+H6,D6)-1),3)),0,ROUND(POWER(1+H6,D6-F6)*(POWER(1+H6,F6)-1)/(POWER(1+H6,D6)-1),3))</f>
        <v>0.90100000000000002</v>
      </c>
      <c r="H6" s="2975">
        <v>4.4999999999999998E-2</v>
      </c>
      <c r="I6" s="2975">
        <v>0.05</v>
      </c>
      <c r="J6" s="176">
        <v>8.5000000000000006E-2</v>
      </c>
      <c r="K6" s="179">
        <f>SUMIF('数据-汇总表'!C$19:C$33,'数据-取费表'!A6,'数据-汇总表'!E$19:E$33)</f>
        <v>422652.25199999998</v>
      </c>
      <c r="L6" s="3182">
        <v>2000</v>
      </c>
      <c r="M6" s="177">
        <f t="shared" ref="M6:M14" si="0">ROUND(K6*L6/10000,0)</f>
        <v>84530</v>
      </c>
      <c r="N6" s="2977">
        <v>0</v>
      </c>
      <c r="O6" s="177">
        <f>IF($N$5="成新度","——",ROUND(M6*N6,0))</f>
        <v>0</v>
      </c>
      <c r="P6" s="178">
        <f>IF($N$5="成新度","——",M6-O6)</f>
        <v>84530</v>
      </c>
      <c r="Q6" s="2978">
        <v>0.15</v>
      </c>
      <c r="R6" s="179">
        <f>SUMIF('数据-汇总表'!C$19:C$33,A6,'数据-汇总表'!R$19:R$33)</f>
        <v>192114.66</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69">
        <f ca="1">IF(AN6="",0,SUMIF(INDIRECT("'"&amp;AN6&amp;"'"&amp;"!E:E"),$AE$5,INDIRECT("'"&amp;AN6&amp;"'"&amp;"!F:F")))</f>
        <v>0</v>
      </c>
      <c r="AF6" s="141"/>
      <c r="AG6" s="1206">
        <f>IF(AF6="",0,AE6-AF6)</f>
        <v>0</v>
      </c>
      <c r="AH6" s="141"/>
      <c r="AI6" s="187"/>
      <c r="AJ6" s="188"/>
      <c r="AK6" s="189"/>
      <c r="AL6" s="190"/>
      <c r="AM6" s="2989"/>
      <c r="AN6" s="2353"/>
      <c r="AO6" s="1982"/>
      <c r="AP6" s="1197">
        <f>ROUND(1-1/(1+H6)^F6,3)</f>
        <v>0.80200000000000005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商业</v>
      </c>
      <c r="B7" s="2319" t="str">
        <f t="shared" ref="B7:B13" si="1">IF(A7=0,"","经营性")</f>
        <v>经营性</v>
      </c>
      <c r="C7" s="173" t="s">
        <v>2996</v>
      </c>
      <c r="D7" s="2290">
        <f>SUMIF(项目基本情况!D$15:I$15,C7,项目基本情况!D$18:I$18)</f>
        <v>40</v>
      </c>
      <c r="E7" s="2291">
        <f>IF(B7="","",SUMIF(项目基本情况!D$15:I$15,C7,项目基本情况!D$17:I$17))</f>
        <v>57080</v>
      </c>
      <c r="F7" s="174">
        <f>SUMIF(项目基本情况!D$15:I$15,C7,项目基本情况!D$19:I$19)</f>
        <v>36.75</v>
      </c>
      <c r="G7" s="175">
        <f t="shared" ref="G7:G11" si="2">IF(ISERROR(ROUND(POWER(1+H7,D7-F7)*(POWER(1+H7,F7)-1)/(POWER(1+H7,D7)-1),3)),0,ROUND(POWER(1+H7,D7-F7)*(POWER(1+H7,F7)-1)/(POWER(1+H7,D7)-1),3))</f>
        <v>0.97199999999999998</v>
      </c>
      <c r="H7" s="2975">
        <v>0.05</v>
      </c>
      <c r="I7" s="2975">
        <v>5.5E-2</v>
      </c>
      <c r="J7" s="176">
        <v>8.5000000000000006E-2</v>
      </c>
      <c r="K7" s="179">
        <f>SUMIF('数据-汇总表'!C$19:C$33,'数据-取费表'!A7,'数据-汇总表'!E$19:E$33)</f>
        <v>281768.16800000001</v>
      </c>
      <c r="L7" s="3182">
        <v>2200</v>
      </c>
      <c r="M7" s="177">
        <f t="shared" si="0"/>
        <v>61989</v>
      </c>
      <c r="N7" s="2977">
        <v>0</v>
      </c>
      <c r="O7" s="177">
        <f t="shared" ref="O7:O14" si="3">IF($N$5="成新度","——",ROUND(M7*N7,0))</f>
        <v>0</v>
      </c>
      <c r="P7" s="178">
        <f t="shared" ref="P7:P14" si="4">IF($N$5="成新度","——",M7-O7)</f>
        <v>61989</v>
      </c>
      <c r="Q7" s="3183">
        <v>0.2</v>
      </c>
      <c r="R7" s="179">
        <f>SUMIF('数据-汇总表'!C$19:C$33,A7,'数据-汇总表'!R$19:R$33)</f>
        <v>128076.44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1</v>
      </c>
      <c r="V7" s="181">
        <v>2.5000000000000001E-2</v>
      </c>
      <c r="W7" s="181">
        <v>0.15</v>
      </c>
      <c r="X7" s="2303"/>
      <c r="Y7" s="182">
        <v>1</v>
      </c>
      <c r="Z7" s="183"/>
      <c r="AA7" s="176"/>
      <c r="AB7" s="176"/>
      <c r="AC7" s="2306"/>
      <c r="AD7" s="184"/>
      <c r="AE7" s="969">
        <f t="shared" ref="AE7:AE13" ca="1" si="6">IF(AN7="",0,SUMIF(INDIRECT("'"&amp;AN7&amp;"'"&amp;"!E:E"),$AE$5,INDIRECT("'"&amp;AN7&amp;"'"&amp;"!F:F")))</f>
        <v>36.75</v>
      </c>
      <c r="AF7" s="141"/>
      <c r="AG7" s="1206">
        <f t="shared" ref="AG7:AG13" si="7">IF(AF7="",0,AE7-AF7)</f>
        <v>0</v>
      </c>
      <c r="AH7" s="141"/>
      <c r="AI7" s="187">
        <v>365</v>
      </c>
      <c r="AJ7" s="188"/>
      <c r="AK7" s="3184">
        <v>0.02</v>
      </c>
      <c r="AL7" s="3185">
        <v>1.5E-3</v>
      </c>
      <c r="AM7" s="3186">
        <v>1.4999999999999999E-2</v>
      </c>
      <c r="AN7" s="2353" t="s">
        <v>3017</v>
      </c>
      <c r="AO7" s="1982"/>
      <c r="AP7" s="1197">
        <f t="shared" ref="AP7:AP13" si="8">ROUND(1-1/(1+H7)^F7,3)</f>
        <v>0.83399999999999996</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69">
        <f t="shared" ca="1" si="6"/>
        <v>0</v>
      </c>
      <c r="AF8" s="141"/>
      <c r="AG8" s="1206">
        <f t="shared" si="7"/>
        <v>0</v>
      </c>
      <c r="AH8" s="141"/>
      <c r="AI8" s="187"/>
      <c r="AJ8" s="188"/>
      <c r="AK8" s="189"/>
      <c r="AL8" s="190"/>
      <c r="AM8" s="2351"/>
      <c r="AN8" s="2353"/>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69">
        <f t="shared" ca="1" si="6"/>
        <v>0</v>
      </c>
      <c r="AF9" s="141"/>
      <c r="AG9" s="1206">
        <f t="shared" si="7"/>
        <v>0</v>
      </c>
      <c r="AH9" s="141"/>
      <c r="AI9" s="187"/>
      <c r="AJ9" s="188"/>
      <c r="AK9" s="189"/>
      <c r="AL9" s="190"/>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69">
        <f t="shared" ca="1" si="6"/>
        <v>0</v>
      </c>
      <c r="AF10" s="141"/>
      <c r="AG10" s="1206">
        <f t="shared" si="7"/>
        <v>0</v>
      </c>
      <c r="AH10" s="141"/>
      <c r="AI10" s="187"/>
      <c r="AJ10" s="188"/>
      <c r="AK10" s="189"/>
      <c r="AL10" s="190"/>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69">
        <f t="shared" ca="1" si="6"/>
        <v>0</v>
      </c>
      <c r="AF11" s="141"/>
      <c r="AG11" s="1206">
        <f t="shared" si="7"/>
        <v>0</v>
      </c>
      <c r="AH11" s="141"/>
      <c r="AI11" s="187"/>
      <c r="AJ11" s="188"/>
      <c r="AK11" s="196"/>
      <c r="AL11" s="197"/>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69">
        <f t="shared" ca="1" si="6"/>
        <v>0</v>
      </c>
      <c r="AF12" s="141"/>
      <c r="AG12" s="1206">
        <f t="shared" si="7"/>
        <v>0</v>
      </c>
      <c r="AH12" s="141"/>
      <c r="AI12" s="187"/>
      <c r="AJ12" s="188"/>
      <c r="AK12" s="196"/>
      <c r="AL12" s="197"/>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69">
        <f t="shared" ca="1" si="6"/>
        <v>0</v>
      </c>
      <c r="AF13" s="141"/>
      <c r="AG13" s="1206">
        <f t="shared" si="7"/>
        <v>0</v>
      </c>
      <c r="AH13" s="141"/>
      <c r="AI13" s="187"/>
      <c r="AJ13" s="188"/>
      <c r="AK13" s="189"/>
      <c r="AL13" s="190"/>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2313</v>
      </c>
      <c r="B14" s="2288" t="s">
        <v>1679</v>
      </c>
      <c r="C14" s="2289" t="s">
        <v>2313</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2315</v>
      </c>
      <c r="B15" s="2288" t="s">
        <v>1679</v>
      </c>
      <c r="C15" s="2289" t="s">
        <v>2314</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0.92900000000000005</v>
      </c>
      <c r="H16" s="203">
        <f>ROUND(SUMPRODUCT(H6:H13,K6:K13)/SUMPRODUCT((H6:H13&gt;0)*(K6:K13)),3)</f>
        <v>4.7E-2</v>
      </c>
      <c r="I16" s="204"/>
      <c r="J16" s="204"/>
      <c r="K16" s="205">
        <f>SUM(K6:K15)</f>
        <v>704420.41999999993</v>
      </c>
      <c r="L16" s="206">
        <f>ROUND(M16*10000/SUM(K6:K14),0)</f>
        <v>2080</v>
      </c>
      <c r="M16" s="206">
        <f>SUM(M6:M14)</f>
        <v>146519</v>
      </c>
      <c r="N16" s="207">
        <f>ROUND(SUMPRODUCT(M6:M14,N6:N14)/M16,3)</f>
        <v>0</v>
      </c>
      <c r="O16" s="206">
        <f>SUM(O6:O14)</f>
        <v>0</v>
      </c>
      <c r="P16" s="206">
        <f>SUM(P6:P14)</f>
        <v>146519</v>
      </c>
      <c r="Q16" s="208">
        <f>ROUND(SUMPRODUCT(Q6:Q13,K6:K13)/SUMPRODUCT((Q6:Q13&gt;0)*(K6:K13)),2)</f>
        <v>0.17</v>
      </c>
      <c r="R16" s="2293">
        <f>SUM(R6:R13)</f>
        <v>320191.09999999998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0.81499999999999995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3.5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2336</v>
      </c>
      <c r="B27" s="227">
        <v>217</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2337</v>
      </c>
      <c r="B28" s="229">
        <v>217</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5" t="s">
        <v>275</v>
      </c>
      <c r="B32" s="1371"/>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187">
        <v>0.1</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2893</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3188">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3187">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6">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8">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39">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285</v>
      </c>
      <c r="B44" s="240">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286</v>
      </c>
      <c r="B45" s="238">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287</v>
      </c>
      <c r="B46" s="238">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288</v>
      </c>
      <c r="B47" s="242"/>
      <c r="C47" s="3023"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289</v>
      </c>
      <c r="B48" s="244">
        <v>0.03</v>
      </c>
      <c r="C48" s="3024"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290</v>
      </c>
      <c r="B49" s="238">
        <v>5.0000000000000001E-4</v>
      </c>
      <c r="C49" s="3024"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291</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293</v>
      </c>
      <c r="B52" s="248">
        <f>SUMIF(A54:A63,B53,B54:B63)</f>
        <v>6.4</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49" t="s">
        <v>1096</v>
      </c>
      <c r="C53" s="3025" t="s">
        <v>2901</v>
      </c>
      <c r="D53" s="3026"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2903</v>
      </c>
      <c r="B54" s="186">
        <v>6.4</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2904</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2905</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2906</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2907</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2908</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2912</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3" t="s">
        <v>1663</v>
      </c>
      <c r="B1" s="3294"/>
      <c r="C1" s="3294"/>
      <c r="D1" s="3294"/>
      <c r="E1" s="3294"/>
      <c r="F1" s="3294"/>
      <c r="G1" s="3294"/>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30" t="s">
        <v>2919</v>
      </c>
      <c r="D3" s="1991"/>
      <c r="E3" s="1222" t="s">
        <v>1666</v>
      </c>
      <c r="F3" s="1223" t="s">
        <v>1654</v>
      </c>
      <c r="G3" s="3034" t="s">
        <v>2918</v>
      </c>
      <c r="H3" s="1990"/>
      <c r="I3" s="1990"/>
      <c r="J3" s="1990"/>
      <c r="K3" s="1990"/>
      <c r="L3" s="1990"/>
      <c r="M3" s="1990"/>
      <c r="N3" s="1990"/>
      <c r="O3" s="1990"/>
      <c r="P3" s="1990"/>
      <c r="Q3" s="1990"/>
      <c r="R3" s="1990"/>
    </row>
    <row r="4" spans="1:18" ht="41.25">
      <c r="A4" s="1222"/>
      <c r="B4" s="1224" t="s">
        <v>1667</v>
      </c>
      <c r="C4" s="3031" t="s">
        <v>2920</v>
      </c>
      <c r="D4" s="1991"/>
      <c r="E4" s="1225"/>
      <c r="F4" s="1226" t="s">
        <v>1668</v>
      </c>
      <c r="G4" s="3032" t="s">
        <v>2915</v>
      </c>
      <c r="H4" s="1990"/>
      <c r="I4" s="1990"/>
      <c r="J4" s="1990"/>
      <c r="K4" s="1990"/>
      <c r="L4" s="1990"/>
      <c r="M4" s="1990"/>
      <c r="N4" s="1990"/>
      <c r="O4" s="1990"/>
      <c r="P4" s="1990"/>
      <c r="Q4" s="1990"/>
      <c r="R4" s="1990"/>
    </row>
    <row r="5" spans="1:18" ht="41.25">
      <c r="A5" s="1222"/>
      <c r="B5" s="1224" t="s">
        <v>1669</v>
      </c>
      <c r="C5" s="3031" t="s">
        <v>2921</v>
      </c>
      <c r="D5" s="1991"/>
      <c r="E5" s="1225"/>
      <c r="F5" s="1224" t="s">
        <v>2544</v>
      </c>
      <c r="G5" s="3032" t="s">
        <v>2916</v>
      </c>
      <c r="H5" s="1990"/>
      <c r="I5" s="1990"/>
      <c r="J5" s="1990"/>
      <c r="K5" s="1990"/>
      <c r="L5" s="1990"/>
      <c r="M5" s="1990"/>
      <c r="N5" s="1990"/>
      <c r="O5" s="1990"/>
      <c r="P5" s="1990"/>
      <c r="Q5" s="1990"/>
      <c r="R5" s="1990"/>
    </row>
    <row r="6" spans="1:18" ht="54">
      <c r="A6" s="1222"/>
      <c r="B6" s="1224" t="s">
        <v>1655</v>
      </c>
      <c r="C6" s="3032" t="s">
        <v>2915</v>
      </c>
      <c r="D6" s="1991"/>
      <c r="E6" s="1225"/>
      <c r="F6" s="1224" t="s">
        <v>2545</v>
      </c>
      <c r="G6" s="3032" t="s">
        <v>2913</v>
      </c>
      <c r="H6" s="1990"/>
      <c r="I6" s="1990"/>
      <c r="J6" s="1990"/>
      <c r="K6" s="1990"/>
      <c r="L6" s="1990"/>
      <c r="M6" s="1990"/>
      <c r="N6" s="1990"/>
      <c r="O6" s="1990"/>
      <c r="P6" s="1990"/>
      <c r="Q6" s="1990"/>
      <c r="R6" s="1990"/>
    </row>
    <row r="7" spans="1:18" ht="41.25" thickBot="1">
      <c r="A7" s="1222"/>
      <c r="B7" s="1224" t="s">
        <v>2544</v>
      </c>
      <c r="C7" s="3032" t="s">
        <v>2916</v>
      </c>
      <c r="D7" s="1992"/>
      <c r="E7" s="1227"/>
      <c r="F7" s="1228" t="s">
        <v>1670</v>
      </c>
      <c r="G7" s="3035" t="s">
        <v>2917</v>
      </c>
      <c r="H7" s="1990"/>
      <c r="I7" s="1990"/>
      <c r="J7" s="1990"/>
      <c r="K7" s="1990"/>
      <c r="L7" s="1990"/>
      <c r="M7" s="1990"/>
      <c r="N7" s="1990"/>
      <c r="O7" s="1990"/>
      <c r="P7" s="1990"/>
      <c r="Q7" s="1990"/>
      <c r="R7" s="1990"/>
    </row>
    <row r="8" spans="1:18" ht="27">
      <c r="A8" s="1222"/>
      <c r="B8" s="1224" t="s">
        <v>2545</v>
      </c>
      <c r="C8" s="3032" t="s">
        <v>2913</v>
      </c>
      <c r="D8" s="1992"/>
      <c r="E8" s="1992"/>
      <c r="F8" s="1537"/>
      <c r="G8" s="1537"/>
      <c r="H8" s="1990"/>
      <c r="I8" s="1990"/>
      <c r="J8" s="1990"/>
      <c r="K8" s="1990"/>
      <c r="L8" s="1990"/>
      <c r="M8" s="1990"/>
      <c r="N8" s="1990"/>
      <c r="O8" s="1990"/>
      <c r="P8" s="1990"/>
      <c r="Q8" s="1990"/>
      <c r="R8" s="1990"/>
    </row>
    <row r="9" spans="1:18" ht="40.5">
      <c r="A9" s="1222"/>
      <c r="B9" s="1224" t="s">
        <v>1656</v>
      </c>
      <c r="C9" s="3031" t="s">
        <v>2914</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7"/>
      <c r="E13" s="2539"/>
      <c r="F13" s="2539"/>
      <c r="G13" s="2539"/>
    </row>
    <row r="14" spans="1:18" ht="14.25" thickBot="1">
      <c r="A14" s="1231"/>
      <c r="B14" s="1232"/>
      <c r="C14" s="1233" t="s">
        <v>1664</v>
      </c>
      <c r="D14" s="1991"/>
      <c r="E14" s="1234"/>
      <c r="F14" s="1234"/>
      <c r="G14" s="1216" t="s">
        <v>1665</v>
      </c>
    </row>
    <row r="15" spans="1:18" ht="54">
      <c r="A15" s="2549" t="s">
        <v>1657</v>
      </c>
      <c r="B15" s="1235" t="s">
        <v>1653</v>
      </c>
      <c r="C15" s="1236" t="str">
        <f>C3</f>
        <v>估价对象周边居住用地比例、居住小区规模和社区发展完善程度，综合评价居住社区成熟度一般</v>
      </c>
      <c r="D15" s="1991"/>
      <c r="E15" s="2546" t="s">
        <v>1658</v>
      </c>
      <c r="F15" s="1235" t="s">
        <v>1673</v>
      </c>
      <c r="G15" s="1237" t="str">
        <f>G3</f>
        <v>估价对象位于XX开发区，园区建设成熟度XX，产业集聚程度XX</v>
      </c>
    </row>
    <row r="16" spans="1:18" ht="40.5">
      <c r="A16" s="2550"/>
      <c r="B16" s="1238" t="s">
        <v>1667</v>
      </c>
      <c r="C16" s="1239" t="str">
        <f>C4</f>
        <v>估价对象位于XX商圈，周边商业氛围成熟，人流量大，商业繁华度好</v>
      </c>
      <c r="D16" s="1991"/>
      <c r="E16" s="2547"/>
      <c r="F16" s="1240" t="s">
        <v>1668</v>
      </c>
      <c r="G16" s="1002" t="str">
        <f>G4</f>
        <v>估价对象周边道路状况、公共交通通达情况、停车便捷程度，综合评价交通便捷度较好</v>
      </c>
    </row>
    <row r="17" spans="1:7" ht="40.5">
      <c r="A17" s="2550"/>
      <c r="B17" s="1238" t="s">
        <v>1669</v>
      </c>
      <c r="C17" s="1239" t="str">
        <f>C5</f>
        <v>估价对象位于XX商圈，周边办公楼项目较多，入驻率高，办公集聚程度较好</v>
      </c>
      <c r="D17" s="1992"/>
      <c r="E17" s="2547"/>
      <c r="F17" s="1240" t="s">
        <v>1674</v>
      </c>
      <c r="G17" s="2747"/>
    </row>
    <row r="18" spans="1:7" ht="54">
      <c r="A18" s="2550"/>
      <c r="B18" s="1240" t="s">
        <v>1655</v>
      </c>
      <c r="C18" s="1002" t="str">
        <f>C6</f>
        <v>估价对象周边道路状况、公共交通通达情况、停车便捷程度，综合评价交通便捷度较好</v>
      </c>
      <c r="D18" s="1992"/>
      <c r="E18" s="2547"/>
      <c r="F18" s="1240" t="s">
        <v>1670</v>
      </c>
      <c r="G18" s="1002" t="str">
        <f>G7</f>
        <v>该园区内是否有污染型企业，绿化情况，卫生条件，整体环境状况判断</v>
      </c>
    </row>
    <row r="19" spans="1:7" ht="27">
      <c r="A19" s="2550"/>
      <c r="B19" s="1240" t="s">
        <v>1659</v>
      </c>
      <c r="C19" s="2747"/>
      <c r="D19" s="1991"/>
      <c r="E19" s="2547"/>
      <c r="F19" s="1224" t="s">
        <v>2544</v>
      </c>
      <c r="G19" s="1002" t="str">
        <f>G5</f>
        <v>估价对象所在区域公共配套设施齐备情况</v>
      </c>
    </row>
    <row r="20" spans="1:7" ht="40.5">
      <c r="A20" s="2550"/>
      <c r="B20" s="1240" t="s">
        <v>1660</v>
      </c>
      <c r="C20" s="1239" t="str">
        <f>C9</f>
        <v>区域自然环境：；人文环境；综合评价环境状况一般</v>
      </c>
      <c r="D20" s="1992"/>
      <c r="E20" s="2547"/>
      <c r="F20" s="1224" t="s">
        <v>2545</v>
      </c>
      <c r="G20" s="1002" t="str">
        <f>G6</f>
        <v>估价对象所在区域基础设施水平</v>
      </c>
    </row>
    <row r="21" spans="1:7" ht="27">
      <c r="A21" s="2550"/>
      <c r="B21" s="1224" t="s">
        <v>2544</v>
      </c>
      <c r="C21" s="1002" t="str">
        <f>C7</f>
        <v>估价对象所在区域公共配套设施齐备情况</v>
      </c>
      <c r="D21" s="1991"/>
      <c r="E21" s="2547"/>
      <c r="F21" s="1240" t="s">
        <v>1661</v>
      </c>
      <c r="G21" s="3036"/>
    </row>
    <row r="22" spans="1:7" ht="27">
      <c r="A22" s="2550"/>
      <c r="B22" s="1224" t="s">
        <v>2545</v>
      </c>
      <c r="C22" s="1002" t="str">
        <f>C8</f>
        <v>估价对象所在区域基础设施水平</v>
      </c>
      <c r="D22" s="1991"/>
      <c r="E22" s="2547"/>
      <c r="F22" s="1240" t="s">
        <v>1671</v>
      </c>
      <c r="G22" s="2747"/>
    </row>
    <row r="23" spans="1:7" ht="15" thickBot="1">
      <c r="A23" s="2550"/>
      <c r="B23" s="1240" t="s">
        <v>1661</v>
      </c>
      <c r="C23" s="3036"/>
      <c r="E23" s="2548"/>
      <c r="F23" s="1241" t="s">
        <v>1675</v>
      </c>
      <c r="G23" s="3037"/>
    </row>
    <row r="24" spans="1:7" ht="14.25" thickBot="1">
      <c r="A24" s="2551"/>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2842</v>
      </c>
      <c r="B1" s="2994">
        <f>SUM(B14:B23)</f>
        <v>704420.41999999993</v>
      </c>
      <c r="C1" s="2995"/>
      <c r="D1" s="2995"/>
      <c r="E1" s="2995"/>
      <c r="F1" s="2995"/>
    </row>
    <row r="2" spans="1:9" ht="16.5">
      <c r="A2" s="2994" t="s">
        <v>2843</v>
      </c>
      <c r="B2" s="2994">
        <f>SUM(C14:C23)</f>
        <v>320191.09999999998</v>
      </c>
      <c r="C2" s="2995"/>
      <c r="D2" s="2995"/>
      <c r="E2" s="2995"/>
      <c r="F2" s="2995"/>
    </row>
    <row r="3" spans="1:9" ht="16.5">
      <c r="A3" s="2994" t="s">
        <v>2844</v>
      </c>
      <c r="B3" s="2996">
        <f>项目基本情况!D3</f>
        <v>43665</v>
      </c>
      <c r="C3" s="2995"/>
      <c r="D3" s="2995"/>
      <c r="E3" s="2995"/>
      <c r="F3" s="2995"/>
    </row>
    <row r="4" spans="1:9" ht="33">
      <c r="A4" s="2994" t="s">
        <v>2845</v>
      </c>
      <c r="B4" s="2994" t="s">
        <v>2846</v>
      </c>
      <c r="C4" s="2994" t="s">
        <v>2847</v>
      </c>
      <c r="D4" s="2994" t="s">
        <v>2848</v>
      </c>
      <c r="E4" s="2995"/>
      <c r="F4" s="2995"/>
    </row>
    <row r="5" spans="1:9" ht="16.5">
      <c r="A5" s="2994" t="s">
        <v>2849</v>
      </c>
      <c r="B5" s="2994">
        <f ca="1">SUM(D14:D23)</f>
        <v>71098</v>
      </c>
      <c r="C5" s="2994">
        <f ca="1">ROUND(B5*10000/$B$1,0)</f>
        <v>1009</v>
      </c>
      <c r="D5" s="2994">
        <f ca="1">ROUND(B5*10000/$B$2,0)</f>
        <v>2220</v>
      </c>
      <c r="E5" s="2995"/>
      <c r="F5" s="2995"/>
    </row>
    <row r="6" spans="1:9" ht="16.5">
      <c r="A6" s="2994" t="s">
        <v>2850</v>
      </c>
      <c r="B6" s="2994">
        <f ca="1">SUM(G14:G23)</f>
        <v>71098</v>
      </c>
      <c r="C6" s="2994">
        <f t="shared" ref="C6:C8" ca="1" si="0">ROUND(B6*10000/$B$1,0)</f>
        <v>1009</v>
      </c>
      <c r="D6" s="2994">
        <f t="shared" ref="D6:D8" ca="1" si="1">ROUND(B6*10000/$B$2,0)</f>
        <v>2220</v>
      </c>
      <c r="E6" s="2995"/>
      <c r="F6" s="2995"/>
    </row>
    <row r="7" spans="1:9" ht="16.5">
      <c r="A7" s="2994" t="s">
        <v>2851</v>
      </c>
      <c r="B7" s="2994">
        <f>SUM(H14:H23)</f>
        <v>0</v>
      </c>
      <c r="C7" s="2994">
        <f t="shared" si="0"/>
        <v>0</v>
      </c>
      <c r="D7" s="2994">
        <f t="shared" si="1"/>
        <v>0</v>
      </c>
      <c r="E7" s="2995"/>
      <c r="F7" s="2995"/>
    </row>
    <row r="8" spans="1:9" ht="16.5">
      <c r="A8" s="2994" t="s">
        <v>2852</v>
      </c>
      <c r="B8" s="2994">
        <f>SUM(I14:I23)</f>
        <v>0</v>
      </c>
      <c r="C8" s="2994">
        <f t="shared" si="0"/>
        <v>0</v>
      </c>
      <c r="D8" s="2994">
        <f t="shared" si="1"/>
        <v>0</v>
      </c>
      <c r="E8" s="2995"/>
      <c r="F8" s="2995"/>
    </row>
    <row r="9" spans="1:9" ht="16.5">
      <c r="A9" s="2994" t="s">
        <v>2853</v>
      </c>
      <c r="B9" s="2997"/>
      <c r="C9" s="2995"/>
      <c r="D9" s="2995"/>
      <c r="E9" s="2995"/>
      <c r="F9" s="2995"/>
    </row>
    <row r="10" spans="1:9" ht="16.5">
      <c r="A10" s="2994" t="s">
        <v>2854</v>
      </c>
      <c r="B10" s="2997"/>
      <c r="C10" s="2995"/>
      <c r="D10" s="2995"/>
      <c r="E10" s="2995"/>
      <c r="F10" s="2995"/>
    </row>
    <row r="11" spans="1:9" ht="16.5">
      <c r="A11" s="2994" t="s">
        <v>2871</v>
      </c>
      <c r="B11" s="2997"/>
      <c r="C11" s="2995"/>
      <c r="D11" s="2995"/>
      <c r="E11" s="2995"/>
      <c r="F11" s="2995"/>
    </row>
    <row r="12" spans="1:9" ht="16.5">
      <c r="A12" s="2995"/>
      <c r="B12" s="2995"/>
      <c r="C12" s="2995"/>
      <c r="D12" s="2995"/>
      <c r="E12" s="2995"/>
      <c r="F12" s="2995"/>
    </row>
    <row r="13" spans="1:9" ht="33">
      <c r="A13" s="3000" t="s">
        <v>2870</v>
      </c>
      <c r="B13" s="2998" t="s">
        <v>2842</v>
      </c>
      <c r="C13" s="2998" t="s">
        <v>2843</v>
      </c>
      <c r="D13" s="2998" t="s">
        <v>2855</v>
      </c>
      <c r="E13" s="2994" t="s">
        <v>2869</v>
      </c>
      <c r="F13" s="2994" t="s">
        <v>2848</v>
      </c>
      <c r="G13" s="2998" t="s">
        <v>2856</v>
      </c>
      <c r="H13" s="2998" t="s">
        <v>2857</v>
      </c>
      <c r="I13" s="2998" t="s">
        <v>2858</v>
      </c>
    </row>
    <row r="14" spans="1:9" ht="16.5">
      <c r="A14" s="3001" t="s">
        <v>2868</v>
      </c>
      <c r="B14" s="2998">
        <f>结果表!L38</f>
        <v>704420.41999999993</v>
      </c>
      <c r="C14" s="2998">
        <f>结果表!K38</f>
        <v>320191.09999999998</v>
      </c>
      <c r="D14" s="2998">
        <f ca="1">结果表!C42</f>
        <v>71098</v>
      </c>
      <c r="E14" s="2998">
        <f ca="1">ROUND(D14*10000/B14,0)</f>
        <v>1009</v>
      </c>
      <c r="F14" s="2998">
        <f ca="1">ROUND(D14*10000/C14,0)</f>
        <v>2220</v>
      </c>
      <c r="G14" s="2998">
        <f ca="1">结果表!C44</f>
        <v>71098</v>
      </c>
      <c r="H14" s="2998" t="str">
        <f>结果表!C45</f>
        <v>——</v>
      </c>
      <c r="I14" s="2998" t="str">
        <f>结果表!C46</f>
        <v>——</v>
      </c>
    </row>
    <row r="15" spans="1:9" ht="16.5">
      <c r="A15" s="3001" t="s">
        <v>2859</v>
      </c>
      <c r="B15" s="3002"/>
      <c r="C15" s="3002"/>
      <c r="D15" s="3002"/>
      <c r="E15" s="2998" t="e">
        <f t="shared" ref="E15:E23" si="2">ROUND(D15*10000/B15,0)</f>
        <v>#DIV/0!</v>
      </c>
      <c r="F15" s="2998" t="e">
        <f t="shared" ref="F15:F23" si="3">ROUND(D15*10000/C15,0)</f>
        <v>#DIV/0!</v>
      </c>
      <c r="G15" s="2999"/>
      <c r="H15" s="2999"/>
      <c r="I15" s="3002"/>
    </row>
    <row r="16" spans="1:9" ht="16.5">
      <c r="A16" s="3001" t="s">
        <v>2860</v>
      </c>
      <c r="B16" s="3002"/>
      <c r="C16" s="3002"/>
      <c r="D16" s="3002"/>
      <c r="E16" s="2998" t="e">
        <f t="shared" si="2"/>
        <v>#DIV/0!</v>
      </c>
      <c r="F16" s="2998" t="e">
        <f t="shared" si="3"/>
        <v>#DIV/0!</v>
      </c>
      <c r="G16" s="2999"/>
      <c r="H16" s="2999"/>
      <c r="I16" s="3002"/>
    </row>
    <row r="17" spans="1:9" ht="16.5">
      <c r="A17" s="3001" t="s">
        <v>2861</v>
      </c>
      <c r="B17" s="3002"/>
      <c r="C17" s="3002"/>
      <c r="D17" s="3002"/>
      <c r="E17" s="2998" t="e">
        <f t="shared" si="2"/>
        <v>#DIV/0!</v>
      </c>
      <c r="F17" s="2998" t="e">
        <f t="shared" si="3"/>
        <v>#DIV/0!</v>
      </c>
      <c r="G17" s="2999"/>
      <c r="H17" s="2999"/>
      <c r="I17" s="3002"/>
    </row>
    <row r="18" spans="1:9" ht="16.5">
      <c r="A18" s="3001" t="s">
        <v>2862</v>
      </c>
      <c r="B18" s="3002"/>
      <c r="C18" s="3002"/>
      <c r="D18" s="3002"/>
      <c r="E18" s="2998" t="e">
        <f t="shared" si="2"/>
        <v>#DIV/0!</v>
      </c>
      <c r="F18" s="2998" t="e">
        <f t="shared" si="3"/>
        <v>#DIV/0!</v>
      </c>
      <c r="G18" s="3002"/>
      <c r="H18" s="3002"/>
      <c r="I18" s="3002"/>
    </row>
    <row r="19" spans="1:9" ht="16.5">
      <c r="A19" s="3001" t="s">
        <v>2863</v>
      </c>
      <c r="B19" s="3002"/>
      <c r="C19" s="3002"/>
      <c r="D19" s="3002"/>
      <c r="E19" s="2998" t="e">
        <f t="shared" si="2"/>
        <v>#DIV/0!</v>
      </c>
      <c r="F19" s="2998" t="e">
        <f t="shared" si="3"/>
        <v>#DIV/0!</v>
      </c>
      <c r="G19" s="3002"/>
      <c r="H19" s="3002"/>
      <c r="I19" s="3002"/>
    </row>
    <row r="20" spans="1:9" ht="16.5">
      <c r="A20" s="3001" t="s">
        <v>2864</v>
      </c>
      <c r="B20" s="3002"/>
      <c r="C20" s="3002"/>
      <c r="D20" s="3002"/>
      <c r="E20" s="2998" t="e">
        <f t="shared" si="2"/>
        <v>#DIV/0!</v>
      </c>
      <c r="F20" s="2998" t="e">
        <f t="shared" si="3"/>
        <v>#DIV/0!</v>
      </c>
      <c r="G20" s="3002"/>
      <c r="H20" s="3002"/>
      <c r="I20" s="3002"/>
    </row>
    <row r="21" spans="1:9" ht="16.5">
      <c r="A21" s="3001" t="s">
        <v>2865</v>
      </c>
      <c r="B21" s="3002"/>
      <c r="C21" s="3002"/>
      <c r="D21" s="3002"/>
      <c r="E21" s="2998" t="e">
        <f t="shared" si="2"/>
        <v>#DIV/0!</v>
      </c>
      <c r="F21" s="2998" t="e">
        <f t="shared" si="3"/>
        <v>#DIV/0!</v>
      </c>
      <c r="G21" s="3002"/>
      <c r="H21" s="3002"/>
      <c r="I21" s="3002"/>
    </row>
    <row r="22" spans="1:9" ht="16.5">
      <c r="A22" s="3001" t="s">
        <v>2866</v>
      </c>
      <c r="B22" s="3002"/>
      <c r="C22" s="3002"/>
      <c r="D22" s="3002"/>
      <c r="E22" s="2998" t="e">
        <f t="shared" si="2"/>
        <v>#DIV/0!</v>
      </c>
      <c r="F22" s="2998" t="e">
        <f t="shared" si="3"/>
        <v>#DIV/0!</v>
      </c>
      <c r="G22" s="3002"/>
      <c r="H22" s="3002"/>
      <c r="I22" s="3002"/>
    </row>
    <row r="23" spans="1:9"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8" t="s">
        <v>2054</v>
      </c>
      <c r="B1" s="1759"/>
      <c r="C1" s="1787" t="s">
        <v>2055</v>
      </c>
      <c r="D1" s="1788"/>
      <c r="E1" s="1787" t="s">
        <v>2056</v>
      </c>
      <c r="F1" s="1789"/>
      <c r="G1" s="309"/>
      <c r="H1" s="309"/>
      <c r="I1" s="309"/>
      <c r="J1" s="2011"/>
      <c r="K1" s="2011"/>
      <c r="L1" s="2011"/>
      <c r="M1" s="2011"/>
      <c r="N1" s="2011"/>
      <c r="O1" s="2011"/>
      <c r="P1" s="2011"/>
      <c r="Q1" s="2011"/>
      <c r="R1" s="2011"/>
      <c r="S1" s="2011"/>
      <c r="T1" s="2011"/>
      <c r="U1" s="2011"/>
      <c r="V1" s="2011"/>
    </row>
    <row r="2" spans="1:22" ht="21.75" customHeight="1" thickBot="1">
      <c r="A2" s="3331" t="str">
        <f>项目基本情况!K2</f>
        <v>山东省潍坊市青州市胶王路北侧一宗商业、住宅用地出让国有建设用地使用权</v>
      </c>
      <c r="B2" s="3332"/>
      <c r="C2" s="3333"/>
      <c r="D2" s="3333"/>
      <c r="E2" s="3333"/>
      <c r="F2" s="3333"/>
      <c r="G2" s="3332"/>
      <c r="H2" s="3332"/>
      <c r="I2" s="3334"/>
      <c r="J2" s="2012"/>
      <c r="K2" s="2011"/>
      <c r="L2" s="2011"/>
      <c r="M2" s="2011"/>
      <c r="N2" s="2011"/>
      <c r="O2" s="2011"/>
      <c r="P2" s="2011"/>
      <c r="Q2" s="2011"/>
      <c r="R2" s="2011"/>
      <c r="S2" s="2011"/>
      <c r="T2" s="2011"/>
      <c r="U2" s="2011"/>
      <c r="V2" s="2011"/>
    </row>
    <row r="3" spans="1:22" ht="14.25">
      <c r="A3" s="3324" t="s">
        <v>298</v>
      </c>
      <c r="B3" s="3325"/>
      <c r="C3" s="3325"/>
      <c r="D3" s="3325"/>
      <c r="E3" s="3325"/>
      <c r="F3" s="3325"/>
      <c r="G3" s="3325"/>
      <c r="H3" s="3325"/>
      <c r="I3" s="3325"/>
      <c r="J3" s="2012"/>
      <c r="K3" s="2011"/>
      <c r="L3" s="2011"/>
      <c r="M3" s="2011"/>
      <c r="N3" s="2011"/>
      <c r="O3" s="2011"/>
      <c r="P3" s="2011"/>
      <c r="Q3" s="2011"/>
      <c r="R3" s="2011"/>
      <c r="S3" s="2011"/>
      <c r="T3" s="2011"/>
      <c r="U3" s="2011"/>
      <c r="V3" s="2011"/>
    </row>
    <row r="4" spans="1:22" ht="14.25">
      <c r="A4" s="256" t="s">
        <v>299</v>
      </c>
      <c r="B4" s="257" t="s">
        <v>300</v>
      </c>
      <c r="C4" s="258" t="s">
        <v>3000</v>
      </c>
      <c r="D4" s="258" t="s">
        <v>3001</v>
      </c>
      <c r="E4" s="3296" t="s">
        <v>301</v>
      </c>
      <c r="F4" s="3297"/>
      <c r="G4" s="3297"/>
      <c r="H4" s="3297"/>
      <c r="I4" s="3326"/>
      <c r="J4" s="2012"/>
      <c r="K4" s="2011"/>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295" t="s">
        <v>302</v>
      </c>
      <c r="B5" s="3321">
        <v>25</v>
      </c>
      <c r="C5" s="3319"/>
      <c r="D5" s="3323"/>
      <c r="E5" s="259" t="s">
        <v>303</v>
      </c>
      <c r="F5" s="260"/>
      <c r="G5" s="260"/>
      <c r="H5" s="260"/>
      <c r="I5" s="261"/>
      <c r="J5" s="2012"/>
      <c r="K5" s="2011"/>
      <c r="L5" s="2011"/>
      <c r="M5" s="2011"/>
      <c r="N5" s="2011"/>
      <c r="O5" s="2011"/>
      <c r="P5" s="2011"/>
      <c r="Q5" s="2011"/>
      <c r="R5" s="2011"/>
      <c r="S5" s="2011"/>
      <c r="T5" s="2011"/>
      <c r="U5" s="2011"/>
      <c r="V5" s="2011"/>
    </row>
    <row r="6" spans="1:22" ht="14.25">
      <c r="A6" s="3295"/>
      <c r="B6" s="3321"/>
      <c r="C6" s="3322"/>
      <c r="D6" s="3323"/>
      <c r="E6" s="259" t="s">
        <v>304</v>
      </c>
      <c r="F6" s="260"/>
      <c r="G6" s="260"/>
      <c r="H6" s="260"/>
      <c r="I6" s="261"/>
      <c r="J6" s="2012"/>
      <c r="K6" s="2011"/>
      <c r="L6" s="2011"/>
      <c r="M6" s="2011"/>
      <c r="N6" s="2011"/>
      <c r="O6" s="2011"/>
      <c r="P6" s="2011"/>
      <c r="Q6" s="2011"/>
      <c r="R6" s="2011"/>
      <c r="S6" s="2011"/>
      <c r="T6" s="2011"/>
      <c r="U6" s="2011"/>
      <c r="V6" s="2011"/>
    </row>
    <row r="7" spans="1:22" ht="14.25">
      <c r="A7" s="3295"/>
      <c r="B7" s="3321"/>
      <c r="C7" s="3320"/>
      <c r="D7" s="3323"/>
      <c r="E7" s="259" t="s">
        <v>305</v>
      </c>
      <c r="F7" s="260"/>
      <c r="G7" s="260"/>
      <c r="H7" s="260"/>
      <c r="I7" s="261"/>
      <c r="J7" s="2012"/>
      <c r="K7" s="2011"/>
      <c r="L7" s="2011"/>
      <c r="M7" s="2011"/>
      <c r="N7" s="2011"/>
      <c r="O7" s="2011"/>
      <c r="P7" s="2011"/>
      <c r="Q7" s="2011"/>
      <c r="R7" s="2011"/>
      <c r="S7" s="2011"/>
      <c r="T7" s="2011"/>
      <c r="U7" s="2011"/>
      <c r="V7" s="2011"/>
    </row>
    <row r="8" spans="1:22" ht="14.25">
      <c r="A8" s="3295" t="s">
        <v>306</v>
      </c>
      <c r="B8" s="3321">
        <v>15</v>
      </c>
      <c r="C8" s="3319"/>
      <c r="D8" s="3323"/>
      <c r="E8" s="259" t="s">
        <v>307</v>
      </c>
      <c r="F8" s="260"/>
      <c r="G8" s="260"/>
      <c r="H8" s="260"/>
      <c r="I8" s="261"/>
      <c r="J8" s="2012"/>
      <c r="K8" s="2011"/>
      <c r="L8" s="2011"/>
      <c r="M8" s="2011"/>
      <c r="N8" s="2011"/>
      <c r="O8" s="2011"/>
      <c r="P8" s="2011"/>
      <c r="Q8" s="2011"/>
      <c r="R8" s="2011"/>
      <c r="S8" s="2011"/>
      <c r="T8" s="2011"/>
      <c r="U8" s="2011"/>
      <c r="V8" s="2011"/>
    </row>
    <row r="9" spans="1:22" ht="14.25">
      <c r="A9" s="3295"/>
      <c r="B9" s="3321"/>
      <c r="C9" s="3320"/>
      <c r="D9" s="3323"/>
      <c r="E9" s="259" t="s">
        <v>308</v>
      </c>
      <c r="F9" s="260"/>
      <c r="G9" s="260"/>
      <c r="H9" s="260"/>
      <c r="I9" s="261"/>
      <c r="J9" s="2012"/>
      <c r="K9" s="2011"/>
      <c r="L9" s="2011"/>
      <c r="M9" s="2011"/>
      <c r="N9" s="2011"/>
      <c r="O9" s="2011"/>
      <c r="P9" s="2011"/>
      <c r="Q9" s="2011"/>
      <c r="R9" s="2011"/>
      <c r="S9" s="2011"/>
      <c r="T9" s="2011"/>
      <c r="U9" s="2011"/>
      <c r="V9" s="2011"/>
    </row>
    <row r="10" spans="1:22" ht="14.25">
      <c r="A10" s="3295" t="s">
        <v>309</v>
      </c>
      <c r="B10" s="3321">
        <v>15</v>
      </c>
      <c r="C10" s="3319"/>
      <c r="D10" s="3323"/>
      <c r="E10" s="259" t="s">
        <v>310</v>
      </c>
      <c r="F10" s="260"/>
      <c r="G10" s="260"/>
      <c r="H10" s="260"/>
      <c r="I10" s="261"/>
      <c r="J10" s="2012"/>
      <c r="K10" s="2011"/>
      <c r="L10" s="2011"/>
      <c r="M10" s="2011"/>
      <c r="N10" s="2011"/>
      <c r="O10" s="2011"/>
      <c r="P10" s="2011"/>
      <c r="Q10" s="2011"/>
      <c r="R10" s="2011"/>
      <c r="S10" s="2011"/>
      <c r="T10" s="2011"/>
      <c r="U10" s="2011"/>
      <c r="V10" s="2011"/>
    </row>
    <row r="11" spans="1:22" ht="14.25">
      <c r="A11" s="3295"/>
      <c r="B11" s="3321"/>
      <c r="C11" s="3320"/>
      <c r="D11" s="3323"/>
      <c r="E11" s="259" t="s">
        <v>311</v>
      </c>
      <c r="F11" s="260"/>
      <c r="G11" s="260"/>
      <c r="H11" s="260"/>
      <c r="I11" s="261"/>
      <c r="J11" s="2012"/>
      <c r="K11" s="2011"/>
      <c r="L11" s="2011"/>
      <c r="M11" s="2011"/>
      <c r="N11" s="2011"/>
      <c r="O11" s="2011"/>
      <c r="P11" s="2011"/>
      <c r="Q11" s="2011"/>
      <c r="R11" s="2011"/>
      <c r="S11" s="2011"/>
      <c r="T11" s="2011"/>
      <c r="U11" s="2011"/>
      <c r="V11" s="2011"/>
    </row>
    <row r="12" spans="1:22" ht="14.25">
      <c r="A12" s="3295" t="s">
        <v>312</v>
      </c>
      <c r="B12" s="3321">
        <v>15</v>
      </c>
      <c r="C12" s="3319"/>
      <c r="D12" s="3323"/>
      <c r="E12" s="259" t="s">
        <v>313</v>
      </c>
      <c r="F12" s="260"/>
      <c r="G12" s="260"/>
      <c r="H12" s="260"/>
      <c r="I12" s="261"/>
      <c r="J12" s="2012"/>
      <c r="K12" s="2011"/>
      <c r="L12" s="2011"/>
      <c r="M12" s="2011"/>
      <c r="N12" s="2011"/>
      <c r="O12" s="2011"/>
      <c r="P12" s="2011"/>
      <c r="Q12" s="2011"/>
      <c r="R12" s="2011"/>
      <c r="S12" s="2011"/>
      <c r="T12" s="2011"/>
      <c r="U12" s="2011"/>
      <c r="V12" s="2011"/>
    </row>
    <row r="13" spans="1:22" ht="14.25">
      <c r="A13" s="3295"/>
      <c r="B13" s="3321"/>
      <c r="C13" s="3320"/>
      <c r="D13" s="3323"/>
      <c r="E13" s="259" t="s">
        <v>314</v>
      </c>
      <c r="F13" s="260"/>
      <c r="G13" s="260"/>
      <c r="H13" s="260"/>
      <c r="I13" s="261"/>
      <c r="J13" s="2012"/>
      <c r="K13" s="2011"/>
      <c r="L13" s="2011"/>
      <c r="M13" s="2011"/>
      <c r="N13" s="2011"/>
      <c r="O13" s="2011"/>
      <c r="P13" s="2011"/>
      <c r="Q13" s="2011"/>
      <c r="R13" s="2011"/>
      <c r="S13" s="2011"/>
      <c r="T13" s="2011"/>
      <c r="U13" s="2011"/>
      <c r="V13" s="2011"/>
    </row>
    <row r="14" spans="1:22" ht="14.25">
      <c r="A14" s="3295" t="s">
        <v>315</v>
      </c>
      <c r="B14" s="3321">
        <v>30</v>
      </c>
      <c r="C14" s="3319">
        <v>5</v>
      </c>
      <c r="D14" s="3323">
        <v>5</v>
      </c>
      <c r="E14" s="259" t="s">
        <v>316</v>
      </c>
      <c r="F14" s="260"/>
      <c r="G14" s="260"/>
      <c r="H14" s="260"/>
      <c r="I14" s="261"/>
      <c r="J14" s="2012"/>
      <c r="K14" s="2011"/>
      <c r="L14" s="2011"/>
      <c r="M14" s="2011"/>
      <c r="N14" s="2011"/>
      <c r="O14" s="2011"/>
      <c r="P14" s="2011"/>
      <c r="Q14" s="2011"/>
      <c r="R14" s="2011"/>
      <c r="S14" s="2011"/>
      <c r="T14" s="2011"/>
      <c r="U14" s="2011"/>
      <c r="V14" s="2011"/>
    </row>
    <row r="15" spans="1:22" ht="14.25">
      <c r="A15" s="3295"/>
      <c r="B15" s="3321"/>
      <c r="C15" s="3322"/>
      <c r="D15" s="3323"/>
      <c r="E15" s="259" t="s">
        <v>317</v>
      </c>
      <c r="F15" s="260"/>
      <c r="G15" s="260"/>
      <c r="H15" s="260"/>
      <c r="I15" s="261"/>
      <c r="J15" s="2012"/>
      <c r="K15" s="2011"/>
      <c r="L15" s="2011"/>
      <c r="M15" s="2011"/>
      <c r="N15" s="2011"/>
      <c r="O15" s="2011"/>
      <c r="P15" s="2011"/>
      <c r="Q15" s="2011"/>
      <c r="R15" s="2011"/>
      <c r="S15" s="2011"/>
      <c r="T15" s="2011"/>
      <c r="U15" s="2011"/>
      <c r="V15" s="2011"/>
    </row>
    <row r="16" spans="1:22" ht="14.25">
      <c r="A16" s="3295"/>
      <c r="B16" s="3321"/>
      <c r="C16" s="3320"/>
      <c r="D16" s="3323"/>
      <c r="E16" s="259" t="s">
        <v>318</v>
      </c>
      <c r="F16" s="260"/>
      <c r="G16" s="260"/>
      <c r="H16" s="260"/>
      <c r="I16" s="261"/>
      <c r="J16" s="2012"/>
      <c r="K16" s="2011"/>
      <c r="L16" s="2011"/>
      <c r="M16" s="2011"/>
      <c r="N16" s="2011"/>
      <c r="O16" s="2011"/>
      <c r="P16" s="2011"/>
      <c r="Q16" s="2011"/>
      <c r="R16" s="2011"/>
      <c r="S16" s="2011"/>
      <c r="T16" s="2011"/>
      <c r="U16" s="2011"/>
      <c r="V16" s="2011"/>
    </row>
    <row r="17" spans="1:26" ht="15">
      <c r="A17" s="262" t="s">
        <v>319</v>
      </c>
      <c r="B17" s="144"/>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320</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321</v>
      </c>
      <c r="B19" s="267" t="s">
        <v>322</v>
      </c>
      <c r="C19" s="268">
        <f ca="1">SUMIF(INDIRECT("'"&amp;C4&amp;"'"&amp;"!A:A"),结果表!B19,INDIRECT("'"&amp;C4&amp;"'"&amp;"!B:B"))</f>
        <v>71217</v>
      </c>
      <c r="D19" s="269">
        <f ca="1">SUMIF(INDIRECT("'"&amp;D4&amp;"'"&amp;"!A:A"),结果表!B19,INDIRECT("'"&amp;D4&amp;"'"&amp;"!B:B"))</f>
        <v>70979</v>
      </c>
      <c r="E19" s="266" t="s">
        <v>323</v>
      </c>
      <c r="F19" s="267" t="s">
        <v>322</v>
      </c>
      <c r="G19" s="270">
        <f ca="1">ROUND(C19*$C$18+D19*$D$18,0)</f>
        <v>71098</v>
      </c>
      <c r="H19" s="271" t="s">
        <v>324</v>
      </c>
      <c r="I19" s="309"/>
      <c r="J19" s="2011"/>
      <c r="K19" s="2011"/>
      <c r="L19" s="2011"/>
      <c r="M19" s="2011"/>
      <c r="N19" s="2011"/>
      <c r="O19" s="2011"/>
      <c r="P19" s="2011"/>
      <c r="Q19" s="2011"/>
      <c r="R19" s="2011"/>
      <c r="S19" s="2011"/>
      <c r="T19" s="2011"/>
      <c r="U19" s="2011"/>
      <c r="V19" s="2011"/>
    </row>
    <row r="20" spans="1:26" ht="15">
      <c r="A20" s="272"/>
      <c r="B20" s="273" t="s">
        <v>325</v>
      </c>
      <c r="C20" s="274">
        <f ca="1">SUMIF(INDIRECT("'"&amp;C4&amp;"'"&amp;"!A:A"),结果表!B20,INDIRECT("'"&amp;C4&amp;"'"&amp;"!B:B"))</f>
        <v>1011</v>
      </c>
      <c r="D20" s="275">
        <f ca="1">SUMIF(INDIRECT("'"&amp;D4&amp;"'"&amp;"!A:A"),结果表!B20,INDIRECT("'"&amp;D4&amp;"'"&amp;"!B:B"))</f>
        <v>1008</v>
      </c>
      <c r="E20" s="272"/>
      <c r="F20" s="273" t="s">
        <v>325</v>
      </c>
      <c r="G20" s="276">
        <f ca="1">ROUND(C20*$C$18+D20*$D$18,0)</f>
        <v>1010</v>
      </c>
      <c r="H20" s="277" t="s">
        <v>326</v>
      </c>
      <c r="I20" s="309"/>
      <c r="J20" s="2011"/>
      <c r="K20" s="2011">
        <f ca="1">D19/('数据-汇总表'!D3/666.67)</f>
        <v>147.78540043742626</v>
      </c>
      <c r="L20" s="2011"/>
      <c r="M20" s="2011"/>
      <c r="N20" s="2011"/>
      <c r="O20" s="2011"/>
      <c r="P20" s="2011"/>
      <c r="Q20" s="2011"/>
      <c r="R20" s="2011"/>
      <c r="S20" s="2011"/>
      <c r="T20" s="2011"/>
      <c r="U20" s="2011"/>
      <c r="V20" s="2011"/>
    </row>
    <row r="21" spans="1:26" ht="15" customHeight="1">
      <c r="A21" s="272"/>
      <c r="B21" s="278" t="s">
        <v>327</v>
      </c>
      <c r="C21" s="279">
        <f ca="1">SUMIF(INDIRECT("'"&amp;C4&amp;"'"&amp;"!A:A"),结果表!B21,INDIRECT("'"&amp;C4&amp;"'"&amp;"!B:B"))</f>
        <v>2224</v>
      </c>
      <c r="D21" s="151">
        <f ca="1">SUMIF(INDIRECT("'"&amp;D4&amp;"'"&amp;"!A:A"),结果表!B21,INDIRECT("'"&amp;D4&amp;"'"&amp;"!B:B"))</f>
        <v>2217</v>
      </c>
      <c r="E21" s="272"/>
      <c r="F21" s="278" t="s">
        <v>327</v>
      </c>
      <c r="G21" s="280">
        <f ca="1">ROUND(C21*$C$18+D21*$D$18,0)</f>
        <v>2221</v>
      </c>
      <c r="H21" s="1244" t="s">
        <v>326</v>
      </c>
      <c r="I21" s="309"/>
      <c r="J21" s="2011"/>
      <c r="K21" s="2011"/>
      <c r="L21" s="2011"/>
      <c r="M21" s="2011"/>
      <c r="N21" s="2011"/>
      <c r="O21" s="2011"/>
      <c r="P21" s="2011"/>
      <c r="Q21" s="2011"/>
      <c r="R21" s="2011"/>
      <c r="S21" s="2011"/>
      <c r="T21" s="2011"/>
      <c r="U21" s="2011"/>
      <c r="V21" s="2011"/>
    </row>
    <row r="22" spans="1:26" ht="15.75" thickBot="1">
      <c r="A22" s="126" t="s">
        <v>328</v>
      </c>
      <c r="B22" s="1245"/>
      <c r="C22" s="1246"/>
      <c r="D22" s="281">
        <f ca="1">IF(C19&lt;D19,D19/C19-1,C19/D19-1)</f>
        <v>3.3531044393411147E-3</v>
      </c>
      <c r="E22" s="282"/>
      <c r="F22" s="283"/>
      <c r="G22" s="284">
        <f ca="1">ROUND(G19/('数据-汇总表'!D3/666.67),0)</f>
        <v>148</v>
      </c>
      <c r="H22" s="285" t="s">
        <v>329</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01" t="s">
        <v>330</v>
      </c>
      <c r="B24" s="267" t="s">
        <v>322</v>
      </c>
      <c r="C24" s="286">
        <f>IF(B30=0,0,D30)</f>
        <v>0</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02"/>
      <c r="B25" s="1314" t="s">
        <v>331</v>
      </c>
      <c r="C25" s="288">
        <f>IF(B30=0,0,C30)</f>
        <v>0</v>
      </c>
      <c r="D25" s="289"/>
      <c r="E25" s="309"/>
      <c r="F25" s="309"/>
      <c r="G25" s="309"/>
      <c r="H25" s="309"/>
      <c r="I25" s="309"/>
      <c r="J25" s="2011"/>
      <c r="K25" s="1248" t="str">
        <f ca="1">项目基本情况!B16&amp;"国有建设用地使用权价格："&amp;O38&amp;"万元"</f>
        <v>出让国有建设用地使用权价格：71098万元</v>
      </c>
      <c r="L25" s="1249"/>
      <c r="M25" s="1249"/>
      <c r="N25" s="1249"/>
      <c r="O25" s="1250"/>
      <c r="P25" s="2011"/>
      <c r="Q25" s="2011"/>
      <c r="R25" s="2011"/>
      <c r="S25" s="2011"/>
      <c r="T25" s="2011"/>
      <c r="U25" s="2011"/>
      <c r="V25" s="2011"/>
    </row>
    <row r="26" spans="1:26" s="1247" customFormat="1" ht="18">
      <c r="A26" s="291" t="s">
        <v>332</v>
      </c>
      <c r="B26" s="292" t="s">
        <v>333</v>
      </c>
      <c r="C26" s="292" t="s">
        <v>334</v>
      </c>
      <c r="D26" s="293" t="s">
        <v>335</v>
      </c>
      <c r="E26" s="309"/>
      <c r="F26" s="309"/>
      <c r="G26" s="309"/>
      <c r="H26" s="309"/>
      <c r="I26" s="309"/>
      <c r="J26" s="2011"/>
      <c r="K26" s="1251" t="str">
        <f ca="1">"大写金额：人民币"&amp;NUMBERSTRING(INT(O38*10000),2)&amp;"元整"</f>
        <v>大写金额：人民币柒亿壹仟零玖拾捌万元整</v>
      </c>
      <c r="L26" s="1245"/>
      <c r="M26" s="1245"/>
      <c r="N26" s="1245"/>
      <c r="O26" s="1244"/>
      <c r="P26" s="2011"/>
      <c r="Q26" s="2011"/>
      <c r="R26" s="2011"/>
      <c r="S26" s="2011"/>
      <c r="T26" s="2011"/>
      <c r="U26" s="2011"/>
      <c r="V26" s="2011"/>
      <c r="W26" s="290"/>
      <c r="X26" s="290"/>
      <c r="Y26" s="290"/>
      <c r="Z26" s="290"/>
    </row>
    <row r="27" spans="1:26" ht="18">
      <c r="A27" s="291"/>
      <c r="B27" s="292"/>
      <c r="C27" s="292"/>
      <c r="D27" s="293"/>
      <c r="E27" s="309"/>
      <c r="F27" s="309"/>
      <c r="G27" s="309"/>
      <c r="H27" s="309"/>
      <c r="I27" s="309"/>
      <c r="J27" s="2011"/>
      <c r="K27" s="1251" t="str">
        <f ca="1">"单位面积地价："&amp;M38&amp;"元/平方米"</f>
        <v>单位面积地价：2220元/平方米</v>
      </c>
      <c r="L27" s="1245"/>
      <c r="M27" s="1245"/>
      <c r="N27" s="1245"/>
      <c r="O27" s="1244"/>
      <c r="P27" s="2011"/>
      <c r="Q27" s="2011"/>
      <c r="R27" s="2011"/>
      <c r="S27" s="2011"/>
      <c r="T27" s="2011"/>
      <c r="U27" s="2011"/>
      <c r="V27" s="2011"/>
    </row>
    <row r="28" spans="1:26" ht="18.75" customHeight="1">
      <c r="A28" s="291"/>
      <c r="B28" s="292"/>
      <c r="C28" s="292"/>
      <c r="D28" s="293"/>
      <c r="E28" s="309"/>
      <c r="F28" s="309"/>
      <c r="G28" s="309"/>
      <c r="H28" s="309"/>
      <c r="I28" s="309"/>
      <c r="J28" s="2011"/>
      <c r="K28" s="1251" t="str">
        <f ca="1">"楼面地价："&amp;N38&amp;"元/平方米"</f>
        <v>楼面地价：1009元/平方米</v>
      </c>
      <c r="L28" s="1245"/>
      <c r="M28" s="1245"/>
      <c r="N28" s="1245"/>
      <c r="O28" s="1244"/>
      <c r="P28" s="2011"/>
      <c r="V28" s="2011"/>
    </row>
    <row r="29" spans="1:26" ht="18">
      <c r="A29" s="291"/>
      <c r="B29" s="292"/>
      <c r="C29" s="292"/>
      <c r="D29" s="293"/>
      <c r="E29" s="309"/>
      <c r="F29" s="309"/>
      <c r="G29" s="309"/>
      <c r="H29" s="309"/>
      <c r="I29" s="309"/>
      <c r="J29" s="2011"/>
      <c r="K29" s="1251" t="str">
        <f ca="1">IF(OR(项目基本情况!E8="抵押价格",项目基本情况!E8="已注销及未注销"),"抵押价格："&amp;O39&amp;"万元","——")</f>
        <v>抵押价格：71098万元</v>
      </c>
      <c r="L29" s="1245"/>
      <c r="M29" s="1245"/>
      <c r="N29" s="1245"/>
      <c r="O29" s="1244"/>
      <c r="P29" s="2011"/>
      <c r="V29" s="2011"/>
    </row>
    <row r="30" spans="1:26" ht="18.75" thickBot="1">
      <c r="A30" s="3079" t="s">
        <v>336</v>
      </c>
      <c r="B30" s="307"/>
      <c r="C30" s="307"/>
      <c r="D30" s="308"/>
      <c r="E30" s="3080" t="s">
        <v>2965</v>
      </c>
      <c r="F30" s="309"/>
      <c r="G30" s="309"/>
      <c r="H30" s="309"/>
      <c r="I30" s="309"/>
      <c r="J30" s="2011"/>
      <c r="K30" s="1251" t="str">
        <f ca="1">IF(K29="——","——","大写金额：人民币"&amp;NUMBERSTRING(INT(O39*10000),2)&amp;"元整")</f>
        <v>大写金额：人民币柒亿壹仟零玖拾捌万元整</v>
      </c>
      <c r="L30" s="1245"/>
      <c r="M30" s="1245"/>
      <c r="N30" s="1245"/>
      <c r="O30" s="1244"/>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337</v>
      </c>
      <c r="B32" s="1375" t="s">
        <v>1688</v>
      </c>
      <c r="C32" s="1376">
        <f ca="1">G19-C24</f>
        <v>71098</v>
      </c>
      <c r="D32" s="1377" t="s">
        <v>1689</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340</v>
      </c>
      <c r="B33" s="1378" t="s">
        <v>1690</v>
      </c>
      <c r="C33" s="262">
        <f ca="1">ROUND(C32*10000/'数据-汇总表'!E3,0)</f>
        <v>1009</v>
      </c>
      <c r="D33" s="1379" t="s">
        <v>1691</v>
      </c>
      <c r="E33" s="3301" t="s">
        <v>338</v>
      </c>
      <c r="F33" s="294" t="s">
        <v>339</v>
      </c>
      <c r="G33" s="295"/>
      <c r="H33" s="977"/>
      <c r="I33" s="1252"/>
      <c r="J33" s="2011"/>
      <c r="K33" s="1251" t="str">
        <f>IF(项目基本情况!E9="——","——","抵押净值："&amp;C46&amp;"万元")</f>
        <v>抵押净值：——万元</v>
      </c>
      <c r="L33" s="1245"/>
      <c r="M33" s="1245"/>
      <c r="N33" s="1245"/>
      <c r="O33" s="1244"/>
      <c r="P33" s="2011"/>
      <c r="V33" s="2011"/>
    </row>
    <row r="34" spans="1:26" s="1247" customFormat="1" ht="18.75" thickBot="1">
      <c r="A34" s="298"/>
      <c r="B34" s="1380" t="s">
        <v>1692</v>
      </c>
      <c r="C34" s="262">
        <f ca="1">ROUND(C32*10000/'数据-汇总表'!D3,0)</f>
        <v>2220</v>
      </c>
      <c r="D34" s="1381" t="s">
        <v>1691</v>
      </c>
      <c r="E34" s="3342"/>
      <c r="F34" s="127" t="s">
        <v>341</v>
      </c>
      <c r="G34" s="297"/>
      <c r="H34" s="105"/>
      <c r="I34" s="309"/>
      <c r="J34" s="2011"/>
      <c r="K34" s="1254" t="e">
        <f>IF(K33="——","——","大写金额：人民币"&amp;NUMBERSTRING(INT(O41*10000),2)&amp;"元整")</f>
        <v>#VALUE!</v>
      </c>
      <c r="L34" s="1255"/>
      <c r="M34" s="1255"/>
      <c r="N34" s="1255"/>
      <c r="O34" s="1256"/>
      <c r="P34" s="2011"/>
      <c r="Q34" s="290"/>
      <c r="R34" s="290"/>
      <c r="S34" s="290"/>
      <c r="T34" s="290"/>
      <c r="U34" s="290"/>
      <c r="V34" s="2011"/>
      <c r="W34" s="290"/>
      <c r="X34" s="290"/>
      <c r="Y34" s="290"/>
      <c r="Z34" s="290"/>
    </row>
    <row r="35" spans="1:26" ht="15.75" thickBot="1">
      <c r="A35" s="282"/>
      <c r="B35" s="1382"/>
      <c r="C35" s="1383">
        <f ca="1">ROUND(C32/('数据-汇总表'!D3/666.67),0)</f>
        <v>148</v>
      </c>
      <c r="D35" s="1384" t="s">
        <v>1693</v>
      </c>
      <c r="E35" s="3343"/>
      <c r="F35" s="299" t="s">
        <v>342</v>
      </c>
      <c r="G35" s="979"/>
      <c r="H35" s="978" t="s">
        <v>343</v>
      </c>
      <c r="I35" s="309"/>
      <c r="J35" s="2011"/>
      <c r="K35" s="3316" t="s">
        <v>350</v>
      </c>
      <c r="L35" s="3316" t="s">
        <v>351</v>
      </c>
      <c r="M35" s="1257" t="s">
        <v>352</v>
      </c>
      <c r="N35" s="3316" t="s">
        <v>353</v>
      </c>
      <c r="O35" s="3316" t="s">
        <v>354</v>
      </c>
      <c r="P35" s="2011"/>
      <c r="V35" s="2011"/>
    </row>
    <row r="36" spans="1:26" ht="16.5" customHeight="1">
      <c r="A36" s="301" t="s">
        <v>344</v>
      </c>
      <c r="B36" s="302" t="s">
        <v>333</v>
      </c>
      <c r="C36" s="303" t="s">
        <v>345</v>
      </c>
      <c r="D36" s="303" t="s">
        <v>346</v>
      </c>
      <c r="E36" s="304" t="s">
        <v>347</v>
      </c>
      <c r="F36" s="309"/>
      <c r="G36" s="309"/>
      <c r="H36" s="309"/>
      <c r="I36" s="309"/>
      <c r="J36" s="2013"/>
      <c r="K36" s="3317"/>
      <c r="L36" s="3317"/>
      <c r="M36" s="1259" t="s">
        <v>355</v>
      </c>
      <c r="N36" s="3317"/>
      <c r="O36" s="3317"/>
      <c r="P36" s="2011"/>
      <c r="V36" s="2011"/>
    </row>
    <row r="37" spans="1:26" ht="16.5" customHeight="1" thickBot="1">
      <c r="A37" s="1253" t="s">
        <v>348</v>
      </c>
      <c r="B37" s="305"/>
      <c r="C37" s="292"/>
      <c r="D37" s="292"/>
      <c r="E37" s="293"/>
      <c r="F37" s="309"/>
      <c r="G37" s="309"/>
      <c r="H37" s="309"/>
      <c r="I37" s="309"/>
      <c r="J37" s="2013"/>
      <c r="K37" s="3318"/>
      <c r="L37" s="3318"/>
      <c r="M37" s="1260"/>
      <c r="N37" s="3318"/>
      <c r="O37" s="3318"/>
      <c r="P37" s="2011"/>
      <c r="V37" s="2011"/>
    </row>
    <row r="38" spans="1:26" ht="16.5" customHeight="1" thickBot="1">
      <c r="A38" s="1253" t="s">
        <v>349</v>
      </c>
      <c r="B38" s="305"/>
      <c r="C38" s="292"/>
      <c r="D38" s="292"/>
      <c r="E38" s="293"/>
      <c r="F38" s="309"/>
      <c r="G38" s="309"/>
      <c r="H38" s="309"/>
      <c r="I38" s="309"/>
      <c r="J38" s="2013"/>
      <c r="K38" s="1261">
        <f>'数据-汇总表'!D3</f>
        <v>320191.09999999998</v>
      </c>
      <c r="L38" s="1262">
        <f>'数据-汇总表'!E3</f>
        <v>704420.41999999993</v>
      </c>
      <c r="M38" s="1262">
        <f ca="1">C34</f>
        <v>2220</v>
      </c>
      <c r="N38" s="1262">
        <f ca="1">C33</f>
        <v>1009</v>
      </c>
      <c r="O38" s="1263">
        <f ca="1">C32</f>
        <v>71098</v>
      </c>
      <c r="P38" s="2011"/>
      <c r="V38" s="2011"/>
    </row>
    <row r="39" spans="1:26" ht="16.5" customHeight="1" thickBot="1">
      <c r="A39" s="1258"/>
      <c r="B39" s="306"/>
      <c r="C39" s="307"/>
      <c r="D39" s="307"/>
      <c r="E39" s="308"/>
      <c r="F39" s="309"/>
      <c r="G39" s="309"/>
      <c r="H39" s="309"/>
      <c r="I39" s="309"/>
      <c r="J39" s="2013"/>
      <c r="K39" s="3361" t="str">
        <f>MID(A44,3,LEN(A44)-2)</f>
        <v>抵押价格</v>
      </c>
      <c r="L39" s="3362"/>
      <c r="M39" s="3362"/>
      <c r="N39" s="3363"/>
      <c r="O39" s="1386">
        <f ca="1">C44</f>
        <v>71098</v>
      </c>
      <c r="P39" s="2011"/>
      <c r="V39" s="2011"/>
    </row>
    <row r="40" spans="1:26" ht="19.5" thickBot="1">
      <c r="A40" s="104" t="s">
        <v>873</v>
      </c>
      <c r="B40" s="309"/>
      <c r="C40" s="309"/>
      <c r="D40" s="309"/>
      <c r="E40" s="309"/>
      <c r="F40" s="309"/>
      <c r="G40" s="309"/>
      <c r="H40" s="309"/>
      <c r="I40" s="309"/>
      <c r="J40" s="2013"/>
      <c r="K40" s="3361" t="str">
        <f t="shared" ref="K40:K41" si="0">MID(A45,3,LEN(A45)-2)</f>
        <v/>
      </c>
      <c r="L40" s="3362"/>
      <c r="M40" s="3362"/>
      <c r="N40" s="3363"/>
      <c r="O40" s="1386" t="str">
        <f>C45</f>
        <v>——</v>
      </c>
      <c r="P40" s="2011"/>
      <c r="V40" s="2011"/>
    </row>
    <row r="41" spans="1:26" ht="16.5" thickBot="1">
      <c r="A41" s="310" t="s">
        <v>356</v>
      </c>
      <c r="B41" s="311"/>
      <c r="C41" s="312" t="s">
        <v>357</v>
      </c>
      <c r="D41" s="313" t="s">
        <v>358</v>
      </c>
      <c r="E41" s="313" t="s">
        <v>359</v>
      </c>
      <c r="F41" s="314" t="s">
        <v>360</v>
      </c>
      <c r="G41" s="309"/>
      <c r="H41" s="309"/>
      <c r="I41" s="309"/>
      <c r="J41" s="2013"/>
      <c r="K41" s="3361" t="str">
        <f t="shared" si="0"/>
        <v/>
      </c>
      <c r="L41" s="3362"/>
      <c r="M41" s="3362"/>
      <c r="N41" s="3363"/>
      <c r="O41" s="1386" t="str">
        <f>C46</f>
        <v>——</v>
      </c>
      <c r="P41" s="2011"/>
      <c r="V41" s="2011"/>
    </row>
    <row r="42" spans="1:26" ht="29.25">
      <c r="A42" s="3303" t="s">
        <v>2066</v>
      </c>
      <c r="B42" s="3304"/>
      <c r="C42" s="262">
        <f ca="1">C32</f>
        <v>71098</v>
      </c>
      <c r="D42" s="315">
        <f ca="1">C33</f>
        <v>1009</v>
      </c>
      <c r="E42" s="315">
        <f ca="1">C34</f>
        <v>2220</v>
      </c>
      <c r="F42" s="316">
        <f ca="1">C35</f>
        <v>148</v>
      </c>
      <c r="G42" s="309"/>
      <c r="H42" s="309"/>
      <c r="I42" s="317"/>
      <c r="J42" s="2013"/>
      <c r="K42" s="1264" t="s">
        <v>361</v>
      </c>
      <c r="L42" s="2030" t="s">
        <v>362</v>
      </c>
      <c r="M42" s="1265" t="s">
        <v>363</v>
      </c>
      <c r="N42" s="2031" t="s">
        <v>364</v>
      </c>
      <c r="O42" s="2032" t="s">
        <v>365</v>
      </c>
      <c r="P42" s="2011"/>
      <c r="V42" s="2011"/>
    </row>
    <row r="43" spans="1:26" ht="30">
      <c r="A43" s="3314" t="s">
        <v>2728</v>
      </c>
      <c r="B43" s="3315"/>
      <c r="C43" s="262">
        <f>IF(H33="正常操作",G33+G34+G35,G34+G35)</f>
        <v>0</v>
      </c>
      <c r="D43" s="315" t="s">
        <v>43</v>
      </c>
      <c r="E43" s="315" t="s">
        <v>44</v>
      </c>
      <c r="F43" s="316" t="s">
        <v>44</v>
      </c>
      <c r="G43" s="2819" t="s">
        <v>952</v>
      </c>
      <c r="H43" s="309"/>
      <c r="I43" s="317"/>
      <c r="J43" s="2013"/>
      <c r="K43" s="1266" t="str">
        <f>C4</f>
        <v>比较法-住宅、综合</v>
      </c>
      <c r="L43" s="1267">
        <f ca="1">IF(L42="估价结果/万元",C19,C20)</f>
        <v>71217</v>
      </c>
      <c r="M43" s="1268">
        <f>C18</f>
        <v>0.5</v>
      </c>
      <c r="N43" s="1269">
        <f ca="1">IF(N42="测算结果/万元",G19,G20)</f>
        <v>71098</v>
      </c>
      <c r="O43" s="1270">
        <f ca="1">IF(O42="最终结果/万元",C32,C33)</f>
        <v>71098</v>
      </c>
      <c r="P43" s="2011"/>
      <c r="V43" s="2011"/>
    </row>
    <row r="44" spans="1:26" ht="30.75" thickBot="1">
      <c r="A44" s="3303" t="str">
        <f>IF(OR(项目基本情况!E8="抵押价格",项目基本情况!E8="已注销及未注销"),"3.抵押价格","——")</f>
        <v>3.抵押价格</v>
      </c>
      <c r="B44" s="3304"/>
      <c r="C44" s="262">
        <f ca="1">IF(A44="——","——",C42-C43)</f>
        <v>71098</v>
      </c>
      <c r="D44" s="315">
        <f ca="1">ROUND(C44*10000/'数据-汇总表'!E3,0)</f>
        <v>1009</v>
      </c>
      <c r="E44" s="315">
        <f ca="1">ROUND(C44*10000/'数据-汇总表'!D3,0)</f>
        <v>2220</v>
      </c>
      <c r="F44" s="316">
        <f ca="1">ROUND(C44/('数据-汇总表'!D3/666.67),0)</f>
        <v>148</v>
      </c>
      <c r="G44" s="309"/>
      <c r="H44" s="309"/>
      <c r="I44" s="317"/>
      <c r="J44" s="2013"/>
      <c r="K44" s="1271" t="str">
        <f>D4</f>
        <v>剩余法-待开发</v>
      </c>
      <c r="L44" s="1272">
        <f ca="1">IF(L42="估价结果/万元",D19,D20)</f>
        <v>70979</v>
      </c>
      <c r="M44" s="1273">
        <f>D18</f>
        <v>0.5</v>
      </c>
      <c r="N44" s="1274"/>
      <c r="O44" s="1275"/>
      <c r="P44" s="2011"/>
      <c r="V44" s="2011"/>
    </row>
    <row r="45" spans="1:26" ht="15">
      <c r="A45" s="3309" t="str">
        <f>IF(项目基本情况!E8="已注销及未注销","4.抵押担保权已注销时的抵押价格",IF(项目基本情况!E8="已注销","3.抵押担保权已注销时的抵押价格","——"))</f>
        <v>——</v>
      </c>
      <c r="B45" s="3310"/>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05" t="str">
        <f>IF(项目基本情况!E9="抵押净值",IF(A45="——","4.抵押净值","5.抵押净值"),"——")</f>
        <v>——</v>
      </c>
      <c r="B46" s="3306"/>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366</v>
      </c>
      <c r="B47" s="1276"/>
      <c r="C47" s="320" t="s">
        <v>367</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368</v>
      </c>
      <c r="G53" s="335"/>
      <c r="H53" s="335"/>
      <c r="I53" s="336" t="s">
        <v>369</v>
      </c>
      <c r="J53" s="2014"/>
      <c r="K53" s="2011"/>
      <c r="L53" s="2011"/>
      <c r="M53" s="2011"/>
      <c r="N53" s="2011"/>
      <c r="O53" s="2011"/>
      <c r="P53" s="2011"/>
      <c r="Q53" s="2011"/>
      <c r="R53" s="2011"/>
      <c r="S53" s="2011"/>
      <c r="T53" s="2011"/>
      <c r="U53" s="2011"/>
      <c r="V53" s="2011"/>
    </row>
    <row r="54" spans="1:22" ht="12.75">
      <c r="A54" s="255"/>
      <c r="B54" s="337" t="s">
        <v>370</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371</v>
      </c>
      <c r="J56" s="2014"/>
      <c r="K56" s="2011"/>
      <c r="L56" s="2011"/>
      <c r="M56" s="2011"/>
      <c r="N56" s="2011"/>
      <c r="O56" s="2011"/>
      <c r="P56" s="2011"/>
      <c r="Q56" s="2011"/>
      <c r="R56" s="2011"/>
      <c r="S56" s="2011"/>
      <c r="T56" s="2011"/>
      <c r="U56" s="2011"/>
      <c r="V56" s="2011"/>
    </row>
    <row r="57" spans="1:22" ht="12.75">
      <c r="A57" s="255"/>
      <c r="B57" s="337" t="s">
        <v>372</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371</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6"/>
      <c r="E61" s="216"/>
      <c r="F61" s="251"/>
      <c r="G61" s="255"/>
      <c r="H61" s="255"/>
      <c r="I61" s="255"/>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350" t="s">
        <v>374</v>
      </c>
      <c r="B63" s="3351"/>
      <c r="C63" s="3352"/>
      <c r="D63" s="339">
        <f ca="1">ROUND(C42*F63,0)</f>
        <v>42659</v>
      </c>
      <c r="E63" s="300" t="s">
        <v>375</v>
      </c>
      <c r="F63" s="340">
        <v>0.6</v>
      </c>
      <c r="G63" s="341" t="s">
        <v>376</v>
      </c>
      <c r="H63" s="309"/>
      <c r="I63" s="309"/>
      <c r="J63" s="2011"/>
      <c r="K63" s="2011"/>
      <c r="L63" s="2011"/>
      <c r="M63" s="2011"/>
      <c r="N63" s="2011"/>
      <c r="O63" s="2011"/>
      <c r="P63" s="309"/>
      <c r="Q63" s="2011"/>
      <c r="R63" s="2011"/>
      <c r="S63" s="2011"/>
      <c r="T63" s="2011"/>
      <c r="U63" s="2011"/>
      <c r="V63" s="2011"/>
    </row>
    <row r="64" spans="1:22" ht="14.25" customHeight="1">
      <c r="A64" s="3311" t="s">
        <v>378</v>
      </c>
      <c r="B64" s="3312"/>
      <c r="C64" s="3312"/>
      <c r="D64" s="3312"/>
      <c r="E64" s="3312"/>
      <c r="F64" s="3312"/>
      <c r="G64" s="3313"/>
      <c r="H64" s="1281"/>
      <c r="I64" s="945"/>
      <c r="J64" s="1973"/>
      <c r="K64" s="1545" t="s">
        <v>377</v>
      </c>
      <c r="L64" s="11"/>
      <c r="M64" s="11"/>
      <c r="N64" s="11"/>
      <c r="O64" s="11"/>
      <c r="P64" s="309"/>
      <c r="Q64" s="2011"/>
      <c r="R64" s="2011"/>
      <c r="S64" s="2011"/>
      <c r="T64" s="2011"/>
      <c r="U64" s="2011"/>
      <c r="V64" s="2011"/>
    </row>
    <row r="65" spans="1:22" ht="12" customHeight="1">
      <c r="A65" s="342" t="s">
        <v>380</v>
      </c>
      <c r="B65" s="343"/>
      <c r="C65" s="344"/>
      <c r="D65" s="345" t="s">
        <v>381</v>
      </c>
      <c r="E65" s="53" t="s">
        <v>382</v>
      </c>
      <c r="F65" s="346" t="s">
        <v>383</v>
      </c>
      <c r="G65" s="347" t="s">
        <v>384</v>
      </c>
      <c r="H65" s="1281"/>
      <c r="I65" s="945"/>
      <c r="J65" s="1973"/>
      <c r="K65" s="1282"/>
      <c r="L65" s="1283"/>
      <c r="M65" s="1283"/>
      <c r="N65" s="1315" t="s">
        <v>379</v>
      </c>
      <c r="O65" s="1316"/>
      <c r="P65" s="1317"/>
      <c r="Q65" s="2011"/>
      <c r="R65" s="2011"/>
      <c r="S65" s="2011"/>
      <c r="T65" s="2011"/>
      <c r="U65" s="2011"/>
      <c r="V65" s="2011"/>
    </row>
    <row r="66" spans="1:22" ht="25.5">
      <c r="A66" s="3307" t="s">
        <v>386</v>
      </c>
      <c r="B66" s="3308"/>
      <c r="C66" s="3308"/>
      <c r="D66" s="259">
        <f ca="1">IF(H66="情况1",0,IF(H66="情况2",D70,IF(H66="情况3",D71,IF(H66="情况4",D72))))</f>
        <v>2275</v>
      </c>
      <c r="E66" s="990" t="str">
        <f>IF(H66="情况4","(销售额-原购置价)×税（费）率","销售额×税（费）率")</f>
        <v>销售额×税（费）率</v>
      </c>
      <c r="F66" s="348">
        <f>IF(H66="情况1","免征",'数据-取费表'!B41)</f>
        <v>5.6000000000000001E-2</v>
      </c>
      <c r="G66" s="349" t="s">
        <v>387</v>
      </c>
      <c r="H66" s="191" t="s">
        <v>388</v>
      </c>
      <c r="I66" s="1281"/>
      <c r="J66" s="2017"/>
      <c r="K66" s="1284">
        <v>1</v>
      </c>
      <c r="L66" s="3365" t="s">
        <v>385</v>
      </c>
      <c r="M66" s="3366"/>
      <c r="N66" s="2420"/>
      <c r="O66" s="2421"/>
      <c r="P66" s="2422"/>
      <c r="Q66" s="2011"/>
      <c r="R66" s="2011"/>
      <c r="S66" s="2011"/>
      <c r="T66" s="2011"/>
      <c r="U66" s="2011"/>
      <c r="V66" s="2011"/>
    </row>
    <row r="67" spans="1:22" ht="25.5" customHeight="1">
      <c r="A67" s="350" t="s">
        <v>390</v>
      </c>
      <c r="B67" s="3298" t="s">
        <v>391</v>
      </c>
      <c r="C67" s="3298"/>
      <c r="D67" s="351">
        <v>0</v>
      </c>
      <c r="E67" s="41" t="s">
        <v>392</v>
      </c>
      <c r="F67" s="62" t="s">
        <v>21</v>
      </c>
      <c r="G67" s="3353"/>
      <c r="H67" s="309"/>
      <c r="I67" s="1285"/>
      <c r="J67" s="2018"/>
      <c r="K67" s="1959">
        <v>2</v>
      </c>
      <c r="L67" s="3364" t="s">
        <v>389</v>
      </c>
      <c r="M67" s="3364"/>
      <c r="N67" s="1318">
        <f>'数据-取费表'!B2</f>
        <v>43665</v>
      </c>
      <c r="O67" s="1318"/>
      <c r="P67" s="1318"/>
      <c r="Q67" s="2011"/>
      <c r="R67" s="2011"/>
      <c r="S67" s="2011"/>
      <c r="T67" s="2011"/>
      <c r="U67" s="2011"/>
      <c r="V67" s="2011"/>
    </row>
    <row r="68" spans="1:22" ht="25.5" customHeight="1">
      <c r="A68" s="352"/>
      <c r="B68" s="3298" t="s">
        <v>394</v>
      </c>
      <c r="C68" s="3298"/>
      <c r="D68" s="353"/>
      <c r="E68" s="77"/>
      <c r="F68" s="354"/>
      <c r="G68" s="3354"/>
      <c r="H68" s="309"/>
      <c r="I68" s="1285"/>
      <c r="J68" s="2018"/>
      <c r="K68" s="1959">
        <v>3</v>
      </c>
      <c r="L68" s="3364" t="s">
        <v>393</v>
      </c>
      <c r="M68" s="3364"/>
      <c r="N68" s="1286">
        <f ca="1">C42</f>
        <v>71098</v>
      </c>
      <c r="O68" s="1286"/>
      <c r="P68" s="1286"/>
      <c r="Q68" s="2011"/>
      <c r="R68" s="2011"/>
      <c r="S68" s="2011"/>
      <c r="T68" s="2011"/>
      <c r="U68" s="2011"/>
      <c r="V68" s="2011"/>
    </row>
    <row r="69" spans="1:22" ht="12" customHeight="1">
      <c r="A69" s="355"/>
      <c r="B69" s="3298" t="s">
        <v>395</v>
      </c>
      <c r="C69" s="3298"/>
      <c r="D69" s="356"/>
      <c r="E69" s="73"/>
      <c r="F69" s="354"/>
      <c r="G69" s="3355"/>
      <c r="H69" s="309"/>
      <c r="I69" s="1285"/>
      <c r="J69" s="2018"/>
      <c r="K69" s="1287">
        <v>4</v>
      </c>
      <c r="L69" s="3369" t="s">
        <v>2881</v>
      </c>
      <c r="M69" s="3370"/>
      <c r="N69" s="1288">
        <f ca="1">C44</f>
        <v>71098</v>
      </c>
      <c r="O69" s="1288"/>
      <c r="P69" s="1288"/>
      <c r="Q69" s="2011"/>
      <c r="R69" s="2011"/>
      <c r="S69" s="2011"/>
      <c r="T69" s="2011"/>
      <c r="U69" s="2011"/>
      <c r="V69" s="2011"/>
    </row>
    <row r="70" spans="1:22" ht="24" customHeight="1">
      <c r="A70" s="357" t="s">
        <v>396</v>
      </c>
      <c r="B70" s="3298" t="s">
        <v>397</v>
      </c>
      <c r="C70" s="3298"/>
      <c r="D70" s="356">
        <f ca="1">ROUND(D63*'数据-取费表'!B41/(1+'数据-取费表'!C42),0)</f>
        <v>2275</v>
      </c>
      <c r="E70" s="17" t="s">
        <v>398</v>
      </c>
      <c r="F70" s="358">
        <f>'数据-取费表'!B41</f>
        <v>5.6000000000000001E-2</v>
      </c>
      <c r="G70" s="359"/>
      <c r="H70" s="309"/>
      <c r="I70" s="1285"/>
      <c r="J70" s="2018"/>
      <c r="K70" s="3011"/>
      <c r="L70" s="3012"/>
      <c r="M70" s="3012"/>
      <c r="N70" s="3013" t="s">
        <v>2886</v>
      </c>
      <c r="O70" s="3012"/>
      <c r="P70" s="3014"/>
      <c r="Q70" s="2011"/>
      <c r="R70" s="2011"/>
      <c r="S70" s="2011"/>
      <c r="T70" s="2011"/>
      <c r="U70" s="2011"/>
      <c r="V70" s="2011"/>
    </row>
    <row r="71" spans="1:22" ht="12" customHeight="1">
      <c r="A71" s="357" t="s">
        <v>404</v>
      </c>
      <c r="B71" s="3299" t="s">
        <v>405</v>
      </c>
      <c r="C71" s="3300"/>
      <c r="D71" s="356">
        <f ca="1">ROUND(D63*'数据-取费表'!B41/(1+'数据-取费表'!C42),0)</f>
        <v>2275</v>
      </c>
      <c r="E71" s="17" t="s">
        <v>398</v>
      </c>
      <c r="F71" s="358">
        <f>'数据-取费表'!B41</f>
        <v>5.6000000000000001E-2</v>
      </c>
      <c r="G71" s="359"/>
      <c r="H71" s="309"/>
      <c r="I71" s="1285"/>
      <c r="J71" s="2018"/>
      <c r="K71" s="3010" t="s">
        <v>399</v>
      </c>
      <c r="L71" s="3371" t="s">
        <v>400</v>
      </c>
      <c r="M71" s="3371"/>
      <c r="N71" s="3010" t="s">
        <v>401</v>
      </c>
      <c r="O71" s="3010" t="s">
        <v>402</v>
      </c>
      <c r="P71" s="3010" t="s">
        <v>403</v>
      </c>
      <c r="Q71" s="2011"/>
      <c r="R71" s="2011"/>
      <c r="S71" s="2011"/>
      <c r="T71" s="2011"/>
      <c r="U71" s="2011"/>
      <c r="V71" s="2011"/>
    </row>
    <row r="72" spans="1:22" ht="12" customHeight="1">
      <c r="A72" s="357" t="s">
        <v>407</v>
      </c>
      <c r="B72" s="3299" t="s">
        <v>408</v>
      </c>
      <c r="C72" s="3300"/>
      <c r="D72" s="356">
        <f ca="1">C86</f>
        <v>2163</v>
      </c>
      <c r="E72" s="73" t="s">
        <v>409</v>
      </c>
      <c r="F72" s="358">
        <f>'数据-取费表'!B41</f>
        <v>5.6000000000000001E-2</v>
      </c>
      <c r="G72" s="359"/>
      <c r="H72" s="1291"/>
      <c r="I72" s="1285"/>
      <c r="J72" s="2018"/>
      <c r="K72" s="1959">
        <v>1</v>
      </c>
      <c r="L72" s="3346" t="s">
        <v>406</v>
      </c>
      <c r="M72" s="3346"/>
      <c r="N72" s="1289">
        <f ca="1">D66</f>
        <v>2275</v>
      </c>
      <c r="O72" s="1842" t="str">
        <f>E66</f>
        <v>销售额×税（费）率</v>
      </c>
      <c r="P72" s="1290">
        <f>F66</f>
        <v>5.6000000000000001E-2</v>
      </c>
      <c r="Q72" s="2011"/>
      <c r="R72" s="2011"/>
      <c r="S72" s="2011"/>
      <c r="T72" s="2011"/>
      <c r="U72" s="2011"/>
      <c r="V72" s="2011"/>
    </row>
    <row r="73" spans="1:22" ht="24" customHeight="1">
      <c r="A73" s="3340" t="s">
        <v>411</v>
      </c>
      <c r="B73" s="3308"/>
      <c r="C73" s="3308"/>
      <c r="D73" s="360">
        <f>IF(H73="个人住宅",0,ROUND(D63*I73,0))</f>
        <v>0</v>
      </c>
      <c r="E73" s="17" t="s">
        <v>412</v>
      </c>
      <c r="F73" s="358" t="str">
        <f>IF(H73="正常",I73,"免征")</f>
        <v>免征</v>
      </c>
      <c r="G73" s="359"/>
      <c r="H73" s="191" t="s">
        <v>2453</v>
      </c>
      <c r="I73" s="358">
        <f>'数据-取费表'!B49</f>
        <v>5.0000000000000001E-4</v>
      </c>
      <c r="J73" s="2018"/>
      <c r="K73" s="1959">
        <v>2</v>
      </c>
      <c r="L73" s="3346" t="s">
        <v>410</v>
      </c>
      <c r="M73" s="3346"/>
      <c r="N73" s="1289">
        <f t="shared" ref="N73:P74" si="1">D73</f>
        <v>0</v>
      </c>
      <c r="O73" s="1842" t="str">
        <f t="shared" si="1"/>
        <v>销售额×税（费）率</v>
      </c>
      <c r="P73" s="1290" t="str">
        <f t="shared" si="1"/>
        <v>免征</v>
      </c>
      <c r="Q73" s="2011"/>
      <c r="R73" s="2011"/>
      <c r="S73" s="2011"/>
      <c r="T73" s="2011"/>
      <c r="U73" s="2011"/>
      <c r="V73" s="2011"/>
    </row>
    <row r="74" spans="1:22" ht="24.75">
      <c r="A74" s="3340" t="s">
        <v>415</v>
      </c>
      <c r="B74" s="3308"/>
      <c r="C74" s="3308"/>
      <c r="D74" s="360">
        <f ca="1">IF(H74="个人住宅",D75,D76)</f>
        <v>23490</v>
      </c>
      <c r="E74" s="17" t="s">
        <v>416</v>
      </c>
      <c r="F74" s="358" t="str">
        <f>IF(H74="正常",F76,"免征")</f>
        <v>——</v>
      </c>
      <c r="G74" s="980" t="s">
        <v>417</v>
      </c>
      <c r="H74" s="361" t="s">
        <v>413</v>
      </c>
      <c r="I74" s="42"/>
      <c r="J74" s="2018"/>
      <c r="K74" s="1959">
        <v>3</v>
      </c>
      <c r="L74" s="3346" t="s">
        <v>414</v>
      </c>
      <c r="M74" s="3346"/>
      <c r="N74" s="1289">
        <f t="shared" ca="1" si="1"/>
        <v>23490</v>
      </c>
      <c r="O74" s="1842" t="str">
        <f t="shared" si="1"/>
        <v>增值额×税（费）率</v>
      </c>
      <c r="P74" s="1292" t="str">
        <f t="shared" si="1"/>
        <v>——</v>
      </c>
      <c r="Q74" s="2011"/>
      <c r="R74" s="2011"/>
      <c r="S74" s="2011"/>
      <c r="T74" s="2011"/>
      <c r="U74" s="2011"/>
      <c r="V74" s="2011"/>
    </row>
    <row r="75" spans="1:22" ht="24">
      <c r="A75" s="357" t="s">
        <v>418</v>
      </c>
      <c r="B75" s="3296" t="s">
        <v>419</v>
      </c>
      <c r="C75" s="3326"/>
      <c r="D75" s="362">
        <v>0</v>
      </c>
      <c r="E75" s="41" t="s">
        <v>420</v>
      </c>
      <c r="F75" s="363"/>
      <c r="G75" s="359"/>
      <c r="H75" s="42"/>
      <c r="I75" s="42"/>
      <c r="J75" s="2018"/>
      <c r="K75" s="3003">
        <f>IF(H77="非个人房产","",4)</f>
        <v>4</v>
      </c>
      <c r="L75" s="3346" t="str">
        <f>IF(H77="非个人房产","——","个人所得税")</f>
        <v>个人所得税</v>
      </c>
      <c r="M75" s="3346"/>
      <c r="N75" s="1293">
        <f ca="1">D77</f>
        <v>427</v>
      </c>
      <c r="O75" s="1855" t="str">
        <f>E77</f>
        <v>销售额×税（费）率</v>
      </c>
      <c r="P75" s="1294">
        <f>F77</f>
        <v>0.01</v>
      </c>
      <c r="Q75" s="2011"/>
      <c r="R75" s="2011"/>
      <c r="S75" s="2011"/>
      <c r="T75" s="2011"/>
      <c r="U75" s="2011"/>
      <c r="V75" s="2011"/>
    </row>
    <row r="76" spans="1:22" ht="24.75">
      <c r="A76" s="357" t="s">
        <v>396</v>
      </c>
      <c r="B76" s="3296" t="s">
        <v>422</v>
      </c>
      <c r="C76" s="3297"/>
      <c r="D76" s="360">
        <f ca="1">IF(H76="转让取得",C99,C115)</f>
        <v>23490</v>
      </c>
      <c r="E76" s="17" t="s">
        <v>423</v>
      </c>
      <c r="F76" s="53" t="s">
        <v>21</v>
      </c>
      <c r="G76" s="359"/>
      <c r="H76" s="361" t="s">
        <v>424</v>
      </c>
      <c r="I76" s="42"/>
      <c r="J76" s="2018"/>
      <c r="K76" s="3003" t="str">
        <f>IF(项目基本情况!K6="上海银行",IF(K75="",4,K75+1),"")</f>
        <v/>
      </c>
      <c r="L76" s="3357" t="str">
        <f>IF(项目基本情况!K6="上海银行","其他处置费用","")</f>
        <v/>
      </c>
      <c r="M76" s="3358"/>
      <c r="N76" s="1289" t="str">
        <f>IF(项目基本情况!K6="上海银行",N89,"")</f>
        <v/>
      </c>
      <c r="O76" s="3359" t="str">
        <f>IF(项目基本情况!K6="上海银行","包含处置中涉及的律师、诉讼、拍卖、评估等费用","")</f>
        <v/>
      </c>
      <c r="P76" s="3360"/>
      <c r="Q76" s="2011"/>
      <c r="R76" s="2011"/>
      <c r="S76" s="2011"/>
      <c r="T76" s="2011"/>
      <c r="U76" s="2011"/>
      <c r="V76" s="2011"/>
    </row>
    <row r="77" spans="1:22" ht="26.25" thickBot="1">
      <c r="A77" s="3348" t="s">
        <v>426</v>
      </c>
      <c r="B77" s="3349"/>
      <c r="C77" s="3349"/>
      <c r="D77" s="364">
        <f ca="1">IF(H77="非个人房产","——",IF(H77="个人住宅",0,ROUND(D63*I77,0)))</f>
        <v>427</v>
      </c>
      <c r="E77" s="365" t="str">
        <f>IF(H77="非个人房产","——","销售额×税（费）率")</f>
        <v>销售额×税（费）率</v>
      </c>
      <c r="F77" s="366">
        <f>IF(H77="非个人房产","——",IF(H77="个人住宅","免征",I77))</f>
        <v>0.01</v>
      </c>
      <c r="G77" s="981" t="s">
        <v>417</v>
      </c>
      <c r="H77" s="361" t="s">
        <v>2882</v>
      </c>
      <c r="I77" s="367">
        <v>0.01</v>
      </c>
      <c r="J77" s="2018"/>
      <c r="K77" s="3347">
        <f>IF(AND(K75="",K76=""),4,IF(项目基本情况!K6="上海银行",K76+1,K75+1))</f>
        <v>5</v>
      </c>
      <c r="L77" s="3346" t="s">
        <v>2883</v>
      </c>
      <c r="M77" s="3009" t="s">
        <v>421</v>
      </c>
      <c r="N77" s="1295"/>
      <c r="O77" s="1296">
        <f ca="1">SUMIF(N72:N76,"&lt;9e307")</f>
        <v>26192</v>
      </c>
      <c r="P77" s="1297"/>
      <c r="Q77" s="3007">
        <f ca="1">O77/N69</f>
        <v>0.36839292244507582</v>
      </c>
      <c r="R77" s="2011"/>
      <c r="S77" s="2011"/>
      <c r="T77" s="2011"/>
      <c r="U77" s="2011"/>
      <c r="V77" s="2011"/>
    </row>
    <row r="78" spans="1:22" ht="12" customHeight="1">
      <c r="A78" s="1298"/>
      <c r="B78" s="309"/>
      <c r="C78" s="309"/>
      <c r="D78" s="309"/>
      <c r="E78" s="42"/>
      <c r="F78" s="42"/>
      <c r="G78" s="42"/>
      <c r="H78" s="1000"/>
      <c r="I78" s="309"/>
      <c r="J78" s="2018"/>
      <c r="K78" s="3347"/>
      <c r="L78" s="3346"/>
      <c r="M78" s="3009" t="s">
        <v>425</v>
      </c>
      <c r="N78" s="1295"/>
      <c r="O78" s="1296" t="str">
        <f ca="1">NUMBERSTRING(INT(O77*10000),2)&amp;"元整"</f>
        <v>贰亿陆仟壹佰玖拾贰万元整</v>
      </c>
      <c r="P78" s="1297"/>
      <c r="Q78" s="2011"/>
      <c r="R78" s="2011"/>
      <c r="S78" s="2011"/>
      <c r="T78" s="2011"/>
      <c r="U78" s="2011"/>
      <c r="V78" s="2011"/>
    </row>
    <row r="79" spans="1:22" ht="13.5" thickBot="1">
      <c r="A79" s="3341" t="s">
        <v>427</v>
      </c>
      <c r="B79" s="3341"/>
      <c r="C79" s="3341"/>
      <c r="D79" s="3341"/>
      <c r="E79" s="3341"/>
      <c r="F79" s="42"/>
      <c r="G79" s="42"/>
      <c r="H79" s="1000"/>
      <c r="I79" s="309"/>
      <c r="J79" s="2018"/>
      <c r="K79" s="3367">
        <f>K77+1</f>
        <v>6</v>
      </c>
      <c r="L79" s="3346" t="s">
        <v>2884</v>
      </c>
      <c r="M79" s="3009" t="s">
        <v>421</v>
      </c>
      <c r="N79" s="1295"/>
      <c r="O79" s="1296">
        <f ca="1">N69-O77</f>
        <v>44906</v>
      </c>
      <c r="P79" s="1297"/>
      <c r="Q79" s="2011"/>
      <c r="R79" s="2011"/>
      <c r="S79" s="2011"/>
      <c r="T79" s="2011"/>
      <c r="U79" s="2011"/>
      <c r="V79" s="2011"/>
    </row>
    <row r="80" spans="1:22" ht="25.5">
      <c r="A80" s="3336" t="s">
        <v>428</v>
      </c>
      <c r="B80" s="3337"/>
      <c r="C80" s="991"/>
      <c r="D80" s="991" t="s">
        <v>429</v>
      </c>
      <c r="E80" s="368" t="s">
        <v>430</v>
      </c>
      <c r="F80" s="42"/>
      <c r="G80" s="42"/>
      <c r="H80" s="1000"/>
      <c r="I80" s="309"/>
      <c r="J80" s="2011"/>
      <c r="K80" s="3368"/>
      <c r="L80" s="3346"/>
      <c r="M80" s="3009" t="s">
        <v>425</v>
      </c>
      <c r="N80" s="1295"/>
      <c r="O80" s="1296" t="str">
        <f ca="1">NUMBERSTRING(INT(O79*10000),2)&amp;"元整"</f>
        <v>肆亿肆仟玖佰零陆万元整</v>
      </c>
      <c r="P80" s="1297"/>
      <c r="Q80" s="2011"/>
      <c r="R80" s="2011"/>
      <c r="S80" s="2011"/>
      <c r="T80" s="2011"/>
      <c r="U80" s="2011"/>
      <c r="V80" s="2011"/>
    </row>
    <row r="81" spans="1:26" ht="13.5" thickBot="1">
      <c r="A81" s="379" t="s">
        <v>1823</v>
      </c>
      <c r="B81" s="369" t="s">
        <v>431</v>
      </c>
      <c r="C81" s="370">
        <f ca="1">ROUND((C82+C83)/(1+'数据-取费表'!C42),0)</f>
        <v>40628</v>
      </c>
      <c r="D81" s="371"/>
      <c r="E81" s="372"/>
      <c r="F81" s="42"/>
      <c r="G81" s="42"/>
      <c r="H81" s="1000"/>
      <c r="I81" s="309"/>
      <c r="J81" s="2011"/>
      <c r="K81" s="3003">
        <f>K79+1</f>
        <v>7</v>
      </c>
      <c r="L81" s="3344" t="s">
        <v>2885</v>
      </c>
      <c r="M81" s="3345"/>
      <c r="N81" s="1299"/>
      <c r="O81" s="1300">
        <f ca="1">ROUND(O79*10000/'数据-汇总表'!E3,0)</f>
        <v>637</v>
      </c>
      <c r="P81" s="1301"/>
      <c r="Q81" s="2011"/>
      <c r="R81" s="2011"/>
      <c r="S81" s="2011"/>
      <c r="T81" s="2011"/>
      <c r="U81" s="2011"/>
      <c r="V81" s="2011"/>
    </row>
    <row r="82" spans="1:26" ht="13.5" thickTop="1">
      <c r="A82" s="373" t="s">
        <v>1824</v>
      </c>
      <c r="B82" s="374" t="s">
        <v>432</v>
      </c>
      <c r="C82" s="375">
        <f ca="1">D63</f>
        <v>42659</v>
      </c>
      <c r="D82" s="376" t="s">
        <v>19</v>
      </c>
      <c r="E82" s="377"/>
      <c r="F82" s="42"/>
      <c r="G82" s="42"/>
      <c r="H82" s="1000"/>
      <c r="I82" s="309"/>
      <c r="J82" s="2011"/>
      <c r="K82" s="2011"/>
      <c r="L82" s="2011"/>
      <c r="M82" s="2011"/>
      <c r="N82" s="2011"/>
      <c r="O82" s="2011"/>
      <c r="P82" s="2011"/>
      <c r="Q82" s="2011"/>
      <c r="R82" s="2011"/>
      <c r="S82" s="2011"/>
      <c r="T82" s="2011"/>
      <c r="U82" s="2011"/>
      <c r="V82" s="2011"/>
    </row>
    <row r="83" spans="1:26" ht="12.75">
      <c r="A83" s="373" t="s">
        <v>1825</v>
      </c>
      <c r="B83" s="374" t="s">
        <v>433</v>
      </c>
      <c r="C83" s="378">
        <v>0</v>
      </c>
      <c r="D83" s="376"/>
      <c r="E83" s="377"/>
      <c r="F83" s="42"/>
      <c r="G83" s="42"/>
      <c r="H83" s="1000"/>
      <c r="I83" s="309"/>
      <c r="J83" s="2011"/>
      <c r="K83" s="3356" t="s">
        <v>2872</v>
      </c>
      <c r="L83" s="3015" t="s">
        <v>2873</v>
      </c>
      <c r="M83" s="3005">
        <f ca="1">IF(N69&gt;10000,N69*0.5%,IF(AND(N69&gt;1000,N69&lt;=10000),N69*1%,IF(AND(N69&gt;100,N69&lt;=1000),N69*3%,IF(AND(N69&gt;10,N69&lt;=100),N69*5%,N69*8%))))</f>
        <v>355.49</v>
      </c>
      <c r="N83" s="53">
        <f ca="1">ROUND(M83,1)</f>
        <v>355.5</v>
      </c>
      <c r="O83" s="3008"/>
      <c r="P83" s="2011"/>
      <c r="Q83" s="2011"/>
      <c r="R83" s="2011"/>
      <c r="S83" s="2011"/>
      <c r="T83" s="2011"/>
      <c r="U83" s="2011"/>
      <c r="V83" s="2011"/>
    </row>
    <row r="84" spans="1:26" ht="12.75">
      <c r="A84" s="379" t="s">
        <v>1826</v>
      </c>
      <c r="B84" s="380" t="s">
        <v>434</v>
      </c>
      <c r="C84" s="381">
        <v>2000</v>
      </c>
      <c r="D84" s="382" t="s">
        <v>19</v>
      </c>
      <c r="E84" s="3050" t="s">
        <v>2938</v>
      </c>
      <c r="F84" s="42"/>
      <c r="G84" s="42"/>
      <c r="H84" s="1000"/>
      <c r="I84" s="309"/>
      <c r="J84" s="2011"/>
      <c r="K84" s="3356"/>
      <c r="L84" s="3015" t="s">
        <v>2874</v>
      </c>
      <c r="M84" s="3005">
        <f ca="1">IF(N69&gt;2000,N69*0.5%,IF(AND(N69&gt;1000,N69&lt;=2000),N69*0.6%,IF(AND(N69&gt;500,N69&lt;=1000),N69*0.7%,IF(AND(N69&gt;200,N69&lt;=500),N69*0.8%,IF(AND(N69&gt;100,N69&lt;=200),N69*0.9%,IF(AND(N69&gt;50,N69&lt;=100),N69*1%,IF(AND(N69&gt;20,N69&lt;=50),N69*1.5%,IF(AND(N69&gt;10,N69&lt;=20),N69*2%,IF(AND(N69&gt;1,N69&lt;=10),N69*2.5%)))))))))</f>
        <v>355.49</v>
      </c>
      <c r="N84" s="53">
        <f t="shared" ref="N84:N85" ca="1" si="2">ROUND(M84,1)</f>
        <v>355.5</v>
      </c>
      <c r="O84" s="2011" t="s">
        <v>2875</v>
      </c>
      <c r="P84" s="2011"/>
      <c r="Q84" s="2011"/>
      <c r="R84" s="2011"/>
      <c r="S84" s="2011"/>
      <c r="T84" s="2011"/>
      <c r="U84" s="2011"/>
      <c r="V84" s="2011"/>
    </row>
    <row r="85" spans="1:26" ht="12.75">
      <c r="A85" s="379" t="s">
        <v>1827</v>
      </c>
      <c r="B85" s="380" t="s">
        <v>435</v>
      </c>
      <c r="C85" s="383">
        <f ca="1">C81-C84</f>
        <v>38628</v>
      </c>
      <c r="D85" s="376" t="s">
        <v>19</v>
      </c>
      <c r="E85" s="377"/>
      <c r="F85" s="42"/>
      <c r="G85" s="42"/>
      <c r="H85" s="1000"/>
      <c r="I85" s="309"/>
      <c r="J85" s="2011"/>
      <c r="K85" s="3356"/>
      <c r="L85" s="3015" t="s">
        <v>2876</v>
      </c>
      <c r="M85" s="3005">
        <f ca="1">IF(N69&gt;1000,N69*0.1%,IF(AND(N69&gt;500,N69&lt;=1000),N69*0.5%,IF(AND(N69&gt;50,N69&lt;=500),N69*1%,IF(AND(N69&gt;1,N69&lt;=50),N69*1.5%))))</f>
        <v>71.097999999999999</v>
      </c>
      <c r="N85" s="53">
        <f t="shared" ca="1" si="2"/>
        <v>71.099999999999994</v>
      </c>
      <c r="O85" s="2011" t="s">
        <v>2875</v>
      </c>
      <c r="P85" s="2011"/>
      <c r="Q85" s="2011"/>
      <c r="R85" s="2011"/>
      <c r="S85" s="2011"/>
      <c r="T85" s="2011"/>
      <c r="U85" s="2011"/>
      <c r="V85" s="2011"/>
    </row>
    <row r="86" spans="1:26" ht="13.5" thickBot="1">
      <c r="A86" s="384" t="s">
        <v>1828</v>
      </c>
      <c r="B86" s="385" t="s">
        <v>436</v>
      </c>
      <c r="C86" s="386">
        <f ca="1">IF(C85&lt;=0,0,ROUND(C85*D86,0))</f>
        <v>2163</v>
      </c>
      <c r="D86" s="387">
        <f>'数据-取费表'!B41</f>
        <v>5.6000000000000001E-2</v>
      </c>
      <c r="E86" s="388"/>
      <c r="F86" s="42"/>
      <c r="G86" s="42"/>
      <c r="H86" s="1000"/>
      <c r="I86" s="309"/>
      <c r="J86" s="2011"/>
      <c r="K86" s="3356"/>
      <c r="L86" s="3015" t="s">
        <v>2877</v>
      </c>
      <c r="M86" s="3005">
        <f ca="1">N69*0.5%</f>
        <v>355.49</v>
      </c>
      <c r="N86" s="53">
        <f ca="1">IF(M86&gt;0.5,0.5,ROUND(M86,0))</f>
        <v>0.5</v>
      </c>
      <c r="O86" s="2011" t="s">
        <v>2878</v>
      </c>
      <c r="P86" s="2011"/>
      <c r="Q86" s="2011"/>
      <c r="R86" s="2011"/>
      <c r="S86" s="2011"/>
      <c r="T86" s="2011"/>
      <c r="U86" s="2011"/>
      <c r="V86" s="2011"/>
    </row>
    <row r="87" spans="1:26" s="1247" customFormat="1" ht="14.25" customHeight="1">
      <c r="A87" s="1302"/>
      <c r="B87" s="1303"/>
      <c r="C87" s="1304"/>
      <c r="D87" s="1305"/>
      <c r="E87" s="1306"/>
      <c r="F87" s="42"/>
      <c r="G87" s="42"/>
      <c r="H87" s="1000"/>
      <c r="I87" s="309"/>
      <c r="J87" s="2011"/>
      <c r="K87" s="3356"/>
      <c r="L87" s="3015" t="s">
        <v>2879</v>
      </c>
      <c r="M87" s="3005">
        <f ca="1">IF(N69&gt;=10000,(8.25+(N69-10000)*0.01%),IF(AND(N69&gt;=8000,N69&lt;10000),(7.85+(N69-8000)*0.02%),IF(AND(N69&gt;=5000,N69&lt;8000),(6.65+(N69-5000)*0.04%),IF(AND(N69&gt;=2000,N69&lt;5000),(4.25+(PN69-2000)*0.08%),IF(AND(N69&gt;=1000,N69&lt;2000),(2.75+(N69-1000)*0.15%),IF(AND(N69&gt;=100,N69&lt;1000),(0.5+(N69-100)*0.25%),IF(AND(N69&gt;0,N69&lt;100),N69*0.5%)))))))</f>
        <v>14.3598</v>
      </c>
      <c r="N87" s="53">
        <f ca="1">ROUND(M87*0.9,1)</f>
        <v>12.9</v>
      </c>
      <c r="O87" s="3008"/>
      <c r="P87" s="309"/>
      <c r="Q87" s="2011"/>
      <c r="R87" s="2011"/>
      <c r="S87" s="2011"/>
      <c r="T87" s="2011"/>
      <c r="U87" s="2011"/>
      <c r="V87" s="2011"/>
      <c r="W87" s="290"/>
      <c r="X87" s="290"/>
      <c r="Y87" s="290"/>
      <c r="Z87" s="290"/>
    </row>
    <row r="88" spans="1:26" s="1307" customFormat="1" ht="15" thickBot="1">
      <c r="A88" s="3338" t="s">
        <v>437</v>
      </c>
      <c r="B88" s="3339"/>
      <c r="C88" s="3339"/>
      <c r="D88" s="3339"/>
      <c r="E88" s="3339"/>
      <c r="F88" s="3339"/>
      <c r="G88" s="3339"/>
      <c r="H88" s="3339"/>
      <c r="I88" s="1308"/>
      <c r="J88" s="2019"/>
      <c r="K88" s="3356"/>
      <c r="L88" s="3015" t="s">
        <v>2880</v>
      </c>
      <c r="M88" s="3005">
        <f ca="1">IF(N69&gt;10000,N69*0.5%,IF(AND(N69&gt;5000,N69&lt;=10000),N69*1%,IF(AND(N69&gt;1000,N69&lt;=5000),N69*2%,IF(AND(N69&gt;200,N69&lt;=1000),N69*3%,N69*5%))))</f>
        <v>355.49</v>
      </c>
      <c r="N88" s="53">
        <f ca="1">ROUND(M88,1)</f>
        <v>355.5</v>
      </c>
      <c r="O88" s="3008"/>
      <c r="P88" s="11"/>
      <c r="Q88" s="2016"/>
      <c r="R88" s="2016"/>
      <c r="S88" s="2016"/>
      <c r="T88" s="2016"/>
      <c r="U88" s="2016"/>
      <c r="V88" s="2016"/>
      <c r="W88" s="2020"/>
      <c r="X88" s="2020"/>
      <c r="Y88" s="2020"/>
      <c r="Z88" s="2020"/>
    </row>
    <row r="89" spans="1:26" s="1307" customFormat="1" ht="14.25">
      <c r="A89" s="3336" t="s">
        <v>428</v>
      </c>
      <c r="B89" s="3337"/>
      <c r="C89" s="991"/>
      <c r="D89" s="991" t="s">
        <v>429</v>
      </c>
      <c r="E89" s="389" t="s">
        <v>438</v>
      </c>
      <c r="F89" s="390"/>
      <c r="G89" s="390"/>
      <c r="H89" s="391"/>
      <c r="I89" s="1309"/>
      <c r="J89" s="2021"/>
      <c r="K89" s="3356"/>
      <c r="L89" s="3015" t="s">
        <v>27</v>
      </c>
      <c r="M89" s="3006"/>
      <c r="N89" s="53">
        <f ca="1">ROUND(SUM(N83:N88),0)</f>
        <v>1151</v>
      </c>
      <c r="O89" s="3016">
        <f ca="1">N89/N69</f>
        <v>1.6188922332555065E-2</v>
      </c>
      <c r="P89" s="2016"/>
      <c r="Q89" s="2016"/>
      <c r="R89" s="2016"/>
      <c r="S89" s="2016"/>
      <c r="T89" s="2016"/>
      <c r="U89" s="2016"/>
      <c r="V89" s="2016"/>
      <c r="W89" s="2020"/>
      <c r="X89" s="2020"/>
      <c r="Y89" s="2020"/>
      <c r="Z89" s="2020"/>
    </row>
    <row r="90" spans="1:26" s="1307" customFormat="1" ht="14.25">
      <c r="A90" s="379" t="s">
        <v>1823</v>
      </c>
      <c r="B90" s="380" t="s">
        <v>439</v>
      </c>
      <c r="C90" s="383">
        <f ca="1">ROUND(D63/(1+'数据-取费表'!C42),0)</f>
        <v>40628</v>
      </c>
      <c r="D90" s="376" t="s">
        <v>19</v>
      </c>
      <c r="E90" s="988"/>
      <c r="F90" s="987"/>
      <c r="G90" s="987"/>
      <c r="H90" s="392"/>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9" t="s">
        <v>1829</v>
      </c>
      <c r="B91" s="346" t="s">
        <v>440</v>
      </c>
      <c r="C91" s="383">
        <f ca="1">C92+C96</f>
        <v>2805</v>
      </c>
      <c r="D91" s="376" t="s">
        <v>19</v>
      </c>
      <c r="E91" s="988"/>
      <c r="F91" s="987"/>
      <c r="G91" s="987"/>
      <c r="H91" s="392"/>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3" t="s">
        <v>1831</v>
      </c>
      <c r="B93" s="374" t="s">
        <v>442</v>
      </c>
      <c r="C93" s="394">
        <v>2000</v>
      </c>
      <c r="D93" s="376" t="s">
        <v>19</v>
      </c>
      <c r="E93" s="395" t="s">
        <v>443</v>
      </c>
      <c r="F93" s="396" t="s">
        <v>444</v>
      </c>
      <c r="G93" s="395" t="s">
        <v>445</v>
      </c>
      <c r="H93" s="397">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3" t="s">
        <v>1832</v>
      </c>
      <c r="B94" s="398" t="s">
        <v>446</v>
      </c>
      <c r="C94" s="376">
        <f>IF(F93="购房发票",ROUND(C93*H93*5%,0),0)</f>
        <v>500</v>
      </c>
      <c r="D94" s="399">
        <v>0.05</v>
      </c>
      <c r="E94" s="3299" t="s">
        <v>447</v>
      </c>
      <c r="F94" s="3298"/>
      <c r="G94" s="3298"/>
      <c r="H94" s="3335"/>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3" t="s">
        <v>1834</v>
      </c>
      <c r="B96" s="374" t="s">
        <v>450</v>
      </c>
      <c r="C96" s="403">
        <f ca="1">ROUND(D63*D96/(1+'数据-取费表'!C42),0)</f>
        <v>244</v>
      </c>
      <c r="D96" s="404">
        <f>'数据-取费表'!B43</f>
        <v>6.000000000000001E-3</v>
      </c>
      <c r="E96" s="3327" t="s">
        <v>2426</v>
      </c>
      <c r="F96" s="3328"/>
      <c r="G96" s="3328"/>
      <c r="H96" s="3329"/>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0" t="s">
        <v>451</v>
      </c>
      <c r="C97" s="383">
        <f ca="1">C90-C91</f>
        <v>37823</v>
      </c>
      <c r="D97" s="376" t="s">
        <v>19</v>
      </c>
      <c r="E97" s="988"/>
      <c r="F97" s="987"/>
      <c r="G97" s="987"/>
      <c r="H97" s="392"/>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0" t="s">
        <v>452</v>
      </c>
      <c r="C98" s="405">
        <f ca="1">IF(C97&lt;=0,0,C97/C91)</f>
        <v>13.484135472370767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5" t="s">
        <v>453</v>
      </c>
      <c r="C99" s="406">
        <f ca="1">ROUND(IF(C97&lt;=0,0,IF(C98&gt;=200%,C97*60%-C91*35%,IF(C98&gt;=100%,C97*50%-C91*15%,IF(C98&gt;=50%,C97*40%-C91*5%,IF(C98&lt;50%,C97*30%,0))))),0)</f>
        <v>21712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338" t="s">
        <v>454</v>
      </c>
      <c r="B101" s="3339"/>
      <c r="C101" s="3339"/>
      <c r="D101" s="3339"/>
      <c r="E101" s="3339"/>
      <c r="F101" s="3339"/>
      <c r="G101" s="3339"/>
      <c r="H101" s="333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336" t="s">
        <v>428</v>
      </c>
      <c r="B102" s="3337"/>
      <c r="C102" s="991"/>
      <c r="D102" s="991" t="s">
        <v>429</v>
      </c>
      <c r="E102" s="389" t="s">
        <v>438</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9" t="s">
        <v>1823</v>
      </c>
      <c r="B103" s="380" t="s">
        <v>439</v>
      </c>
      <c r="C103" s="383">
        <f ca="1">ROUND(D63/(1+'数据-取费表'!C42),0)</f>
        <v>40628</v>
      </c>
      <c r="D103" s="376" t="s">
        <v>19</v>
      </c>
      <c r="E103" s="988"/>
      <c r="F103" s="987"/>
      <c r="G103" s="987"/>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9" t="s">
        <v>1829</v>
      </c>
      <c r="B104" s="346" t="s">
        <v>440</v>
      </c>
      <c r="C104" s="383">
        <f ca="1">IF(H106="仅含出让金",C105+C108+C109+C110+C111+C112,C105+C109+C110+C111+C112)</f>
        <v>934</v>
      </c>
      <c r="D104" s="413"/>
      <c r="E104" s="988"/>
      <c r="F104" s="987"/>
      <c r="G104" s="987"/>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3" t="s">
        <v>1830</v>
      </c>
      <c r="B105" s="374" t="s">
        <v>455</v>
      </c>
      <c r="C105" s="403">
        <f>C106+C107</f>
        <v>572</v>
      </c>
      <c r="D105" s="404"/>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3" t="s">
        <v>1831</v>
      </c>
      <c r="B106" s="374" t="s">
        <v>456</v>
      </c>
      <c r="C106" s="414">
        <v>555</v>
      </c>
      <c r="D106" s="404"/>
      <c r="E106" s="415" t="s">
        <v>457</v>
      </c>
      <c r="F106" s="983"/>
      <c r="G106" s="416" t="s">
        <v>458</v>
      </c>
      <c r="H106" s="417"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4" t="s">
        <v>461</v>
      </c>
      <c r="C109" s="403">
        <f>IF(H109="——",IF(F1="现房",'剩余法-现房'!C18,'剩余法-待开发'!C18),I109)</f>
        <v>55</v>
      </c>
      <c r="D109" s="404"/>
      <c r="E109" s="3330" t="s">
        <v>462</v>
      </c>
      <c r="F109" s="3328"/>
      <c r="G109" s="3328"/>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4" t="s">
        <v>463</v>
      </c>
      <c r="C110" s="403">
        <f>ROUND((C105+C108+C109)*D110,0)</f>
        <v>63</v>
      </c>
      <c r="D110" s="404">
        <v>0.1</v>
      </c>
      <c r="E110" s="3330" t="s">
        <v>464</v>
      </c>
      <c r="F110" s="3328"/>
      <c r="G110" s="3328"/>
      <c r="H110" s="3329"/>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4" t="s">
        <v>450</v>
      </c>
      <c r="C111" s="403">
        <f ca="1">ROUND(D63*D111/(1+'数据-取费表'!C42),0)</f>
        <v>244</v>
      </c>
      <c r="D111" s="404">
        <f>'数据-取费表'!B43</f>
        <v>6.000000000000001E-3</v>
      </c>
      <c r="E111" s="3327" t="s">
        <v>2426</v>
      </c>
      <c r="F111" s="3328"/>
      <c r="G111" s="3328"/>
      <c r="H111" s="3329"/>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4" t="s">
        <v>465</v>
      </c>
      <c r="C112" s="403">
        <f>ROUND(C108*D112,0)</f>
        <v>0</v>
      </c>
      <c r="D112" s="404">
        <v>0.2</v>
      </c>
      <c r="E112" s="3330" t="s">
        <v>2451</v>
      </c>
      <c r="F112" s="3328"/>
      <c r="G112" s="3328"/>
      <c r="H112" s="3329"/>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0" t="s">
        <v>451</v>
      </c>
      <c r="C113" s="383">
        <f ca="1">ROUND(C103-C104,0)</f>
        <v>39694</v>
      </c>
      <c r="D113" s="376" t="s">
        <v>19</v>
      </c>
      <c r="E113" s="988"/>
      <c r="F113" s="987"/>
      <c r="G113" s="987"/>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0" t="s">
        <v>452</v>
      </c>
      <c r="C114" s="405">
        <f ca="1">IF(C113&lt;=0,0,C113/C104)</f>
        <v>42.498929336188439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5" t="s">
        <v>453</v>
      </c>
      <c r="C115" s="406">
        <f ca="1">ROUND(IF(C113&lt;=0,0,IF(C114&gt;=200%,C113*60%-C104*35%,IF(C114&gt;=100%,C113*50%-C104*15%,IF(C114&gt;=50%,C113*40%-C104*5%,IF(C114&lt;50%,C113*30%,0))))),0)</f>
        <v>23490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G5" sqref="G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1" t="s">
        <v>467</v>
      </c>
      <c r="B2" s="506">
        <f>F68</f>
        <v>71217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8">
        <f>ROUND(B2*10000/'数据-汇总表'!E3,0)</f>
        <v>1011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29" customFormat="1" ht="28.5" customHeight="1">
      <c r="A4" s="509" t="s">
        <v>520</v>
      </c>
      <c r="B4" s="425">
        <f>IF(B48="单位面积地价",C50,ROUND(B2*10000/'数据-汇总表'!D3,0))</f>
        <v>2224</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29" customFormat="1" ht="28.5" customHeight="1" thickBot="1">
      <c r="A5" s="427"/>
      <c r="B5" s="428">
        <f>ROUND(B2/('数据-汇总表'!D3/666.67),0)</f>
        <v>148</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521</v>
      </c>
      <c r="B6" s="511"/>
      <c r="C6" s="3381" t="s">
        <v>522</v>
      </c>
      <c r="D6" s="3382"/>
      <c r="E6" s="3381" t="s">
        <v>523</v>
      </c>
      <c r="F6" s="3382"/>
      <c r="G6" s="3381" t="s">
        <v>524</v>
      </c>
      <c r="H6" s="3382"/>
      <c r="I6" s="3381" t="s">
        <v>525</v>
      </c>
      <c r="J6" s="3382"/>
      <c r="K6" s="512" t="s">
        <v>526</v>
      </c>
      <c r="L6" s="2116"/>
      <c r="M6" s="2115"/>
      <c r="N6" s="2115"/>
      <c r="O6" s="2117"/>
      <c r="P6" s="3383" t="s">
        <v>527</v>
      </c>
      <c r="Q6" s="3384"/>
      <c r="R6" s="3389" t="s">
        <v>523</v>
      </c>
      <c r="S6" s="3390"/>
      <c r="T6" s="3389" t="s">
        <v>524</v>
      </c>
      <c r="U6" s="3390"/>
      <c r="V6" s="3376" t="s">
        <v>525</v>
      </c>
      <c r="W6" s="3376"/>
      <c r="X6" s="1551"/>
      <c r="Y6" s="3389" t="s">
        <v>527</v>
      </c>
      <c r="Z6" s="3390"/>
      <c r="AA6" s="3378" t="s">
        <v>523</v>
      </c>
      <c r="AB6" s="3379" t="s">
        <v>524</v>
      </c>
      <c r="AC6" s="3378" t="s">
        <v>525</v>
      </c>
    </row>
    <row r="7" spans="1:30" ht="45" customHeight="1">
      <c r="A7" s="513"/>
      <c r="B7" s="514"/>
      <c r="C7" s="3399" t="s">
        <v>2927</v>
      </c>
      <c r="D7" s="3400"/>
      <c r="E7" s="3397" t="s">
        <v>3157</v>
      </c>
      <c r="F7" s="3398"/>
      <c r="G7" s="3397" t="s">
        <v>3085</v>
      </c>
      <c r="H7" s="3398"/>
      <c r="I7" s="3397" t="s">
        <v>3162</v>
      </c>
      <c r="J7" s="3398"/>
      <c r="K7" s="512"/>
      <c r="L7" s="2116"/>
      <c r="M7" s="2115"/>
      <c r="N7" s="2115"/>
      <c r="O7" s="2117"/>
      <c r="P7" s="3385"/>
      <c r="Q7" s="3386"/>
      <c r="R7" s="3391"/>
      <c r="S7" s="3392"/>
      <c r="T7" s="3391"/>
      <c r="U7" s="3392"/>
      <c r="V7" s="3376"/>
      <c r="W7" s="3376"/>
      <c r="X7" s="1551"/>
      <c r="Y7" s="3391"/>
      <c r="Z7" s="3392"/>
      <c r="AA7" s="3379"/>
      <c r="AB7" s="3379"/>
      <c r="AC7" s="3379"/>
    </row>
    <row r="8" spans="1:30" ht="21" thickBot="1">
      <c r="A8" s="513"/>
      <c r="B8" s="514"/>
      <c r="C8" s="3401" t="s">
        <v>2931</v>
      </c>
      <c r="D8" s="3402"/>
      <c r="E8" s="3401" t="s">
        <v>2931</v>
      </c>
      <c r="F8" s="3402"/>
      <c r="G8" s="3395" t="s">
        <v>2931</v>
      </c>
      <c r="H8" s="3396"/>
      <c r="I8" s="3395" t="s">
        <v>2931</v>
      </c>
      <c r="J8" s="3396"/>
      <c r="K8" s="512" t="s">
        <v>528</v>
      </c>
      <c r="L8" s="2116"/>
      <c r="M8" s="2115"/>
      <c r="N8" s="2115"/>
      <c r="O8" s="2117"/>
      <c r="P8" s="3387"/>
      <c r="Q8" s="3388"/>
      <c r="R8" s="3391"/>
      <c r="S8" s="3392"/>
      <c r="T8" s="3393"/>
      <c r="U8" s="3394"/>
      <c r="V8" s="3376"/>
      <c r="W8" s="3376"/>
      <c r="X8" s="1551"/>
      <c r="Y8" s="3393"/>
      <c r="Z8" s="3394"/>
      <c r="AA8" s="3380"/>
      <c r="AB8" s="3380"/>
      <c r="AC8" s="3380"/>
    </row>
    <row r="9" spans="1:30" s="1213" customFormat="1" ht="21" thickBot="1">
      <c r="A9" s="2865"/>
      <c r="B9" s="2872" t="s">
        <v>529</v>
      </c>
      <c r="C9" s="2864">
        <f>'数据-取费表'!B2</f>
        <v>43665</v>
      </c>
      <c r="D9" s="518">
        <v>100</v>
      </c>
      <c r="E9" s="519">
        <v>42879</v>
      </c>
      <c r="F9" s="520">
        <f>SUMIF(72:72,YEAR(E9)&amp;"-"&amp;INT((MONTH(E9)+2)/3),73:73)</f>
        <v>91</v>
      </c>
      <c r="G9" s="521">
        <v>43350</v>
      </c>
      <c r="H9" s="518">
        <f>SUMIF(72:72,YEAR(G9)&amp;"-"&amp;INT((MONTH(G9)+2)/3),73:73)</f>
        <v>96</v>
      </c>
      <c r="I9" s="521">
        <v>42853</v>
      </c>
      <c r="J9" s="518">
        <f>SUMIF(72:72,YEAR(I9)&amp;"-"&amp;INT((MONTH(I9)+2)/3),73:73)</f>
        <v>91</v>
      </c>
      <c r="K9" s="522"/>
      <c r="L9" s="2118"/>
      <c r="M9" s="2115"/>
      <c r="N9" s="2115"/>
      <c r="O9" s="2119"/>
      <c r="P9" s="3408" t="s">
        <v>530</v>
      </c>
      <c r="Q9" s="3410"/>
      <c r="R9" s="1552" t="s">
        <v>8</v>
      </c>
      <c r="S9" s="1553">
        <f t="shared" ref="S9:S17" si="0">F9</f>
        <v>91</v>
      </c>
      <c r="T9" s="1552" t="s">
        <v>8</v>
      </c>
      <c r="U9" s="1553">
        <f t="shared" ref="U9:U17" si="1">H9</f>
        <v>96</v>
      </c>
      <c r="V9" s="1552" t="s">
        <v>8</v>
      </c>
      <c r="W9" s="1553">
        <f t="shared" ref="W9:W17" si="2">J9</f>
        <v>91</v>
      </c>
      <c r="X9" s="1554"/>
      <c r="Y9" s="3408" t="s">
        <v>530</v>
      </c>
      <c r="Z9" s="3409"/>
      <c r="AA9" s="1555">
        <f>D9/F9</f>
        <v>1.098901098901099</v>
      </c>
      <c r="AB9" s="1555">
        <f>D9/H9</f>
        <v>1.0416666666666667</v>
      </c>
      <c r="AC9" s="1555">
        <f>D9/J9</f>
        <v>1.098901098901099</v>
      </c>
    </row>
    <row r="10" spans="1:30" s="1213" customFormat="1" ht="21" thickBot="1">
      <c r="A10" s="2866"/>
      <c r="B10" s="2873"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8"/>
      <c r="M10" s="2115"/>
      <c r="N10" s="2115"/>
      <c r="O10" s="2119"/>
      <c r="P10" s="3408" t="s">
        <v>533</v>
      </c>
      <c r="Q10" s="3409"/>
      <c r="R10" s="1552" t="s">
        <v>8</v>
      </c>
      <c r="S10" s="1553">
        <f t="shared" si="0"/>
        <v>100</v>
      </c>
      <c r="T10" s="1552" t="s">
        <v>8</v>
      </c>
      <c r="U10" s="1553">
        <f t="shared" si="1"/>
        <v>100</v>
      </c>
      <c r="V10" s="1552" t="s">
        <v>8</v>
      </c>
      <c r="W10" s="1553">
        <f t="shared" si="2"/>
        <v>100</v>
      </c>
      <c r="X10" s="1554"/>
      <c r="Y10" s="3408" t="s">
        <v>533</v>
      </c>
      <c r="Z10" s="3409"/>
      <c r="AA10" s="1555">
        <f t="shared" ref="AA10:AA47" si="3">D10/F10</f>
        <v>1</v>
      </c>
      <c r="AB10" s="1555">
        <f t="shared" ref="AB10:AB47" si="4">D10/H10</f>
        <v>1</v>
      </c>
      <c r="AC10" s="1555">
        <f t="shared" ref="AC10:AC47" si="5">D10/J10</f>
        <v>1</v>
      </c>
    </row>
    <row r="11" spans="1:30" s="1213" customFormat="1" ht="20.25">
      <c r="A11" s="2867"/>
      <c r="B11" s="2874" t="s">
        <v>2754</v>
      </c>
      <c r="C11" s="2861" t="s">
        <v>923</v>
      </c>
      <c r="D11" s="252">
        <v>100</v>
      </c>
      <c r="E11" s="2861" t="s">
        <v>923</v>
      </c>
      <c r="F11" s="252">
        <f>SUMIF(77:77,E11,78:78)-SUMIF(77:77,C11,78:78)+100</f>
        <v>100</v>
      </c>
      <c r="G11" s="2861" t="s">
        <v>923</v>
      </c>
      <c r="H11" s="252">
        <f>SUMIF(77:77,G11,78:78)-SUMIF(77:77,C11,78:78)+100</f>
        <v>100</v>
      </c>
      <c r="I11" s="2861" t="s">
        <v>923</v>
      </c>
      <c r="J11" s="252">
        <f>SUMIF(77:77,I11,78:78)-SUMIF(77:77,C11,78:78)+100</f>
        <v>100</v>
      </c>
      <c r="K11" s="522"/>
      <c r="L11" s="2118"/>
      <c r="M11" s="2115"/>
      <c r="N11" s="2115"/>
      <c r="O11" s="2120"/>
      <c r="P11" s="3375" t="s">
        <v>535</v>
      </c>
      <c r="Q11" s="1144" t="str">
        <f t="shared" ref="Q11:Q17" si="6">B11</f>
        <v>用途</v>
      </c>
      <c r="R11" s="1552" t="s">
        <v>8</v>
      </c>
      <c r="S11" s="1553">
        <f t="shared" si="0"/>
        <v>100</v>
      </c>
      <c r="T11" s="1552" t="s">
        <v>8</v>
      </c>
      <c r="U11" s="1553">
        <f t="shared" si="1"/>
        <v>100</v>
      </c>
      <c r="V11" s="1552" t="s">
        <v>8</v>
      </c>
      <c r="W11" s="1553">
        <f t="shared" si="2"/>
        <v>100</v>
      </c>
      <c r="X11" s="1554"/>
      <c r="Y11" s="3321" t="s">
        <v>536</v>
      </c>
      <c r="Z11" s="1143" t="str">
        <f t="shared" ref="Z11:Z17" si="7">Q11</f>
        <v>用途</v>
      </c>
      <c r="AA11" s="1555">
        <f t="shared" si="3"/>
        <v>1</v>
      </c>
      <c r="AB11" s="1555">
        <f t="shared" si="4"/>
        <v>1</v>
      </c>
      <c r="AC11" s="1555">
        <f t="shared" si="5"/>
        <v>1</v>
      </c>
    </row>
    <row r="12" spans="1:30" s="1331" customFormat="1" ht="27">
      <c r="A12" s="2868"/>
      <c r="B12" s="2873" t="s">
        <v>2755</v>
      </c>
      <c r="C12" s="907">
        <v>50</v>
      </c>
      <c r="D12" s="253">
        <v>100</v>
      </c>
      <c r="E12" s="527" t="s">
        <v>3228</v>
      </c>
      <c r="F12" s="253">
        <f>ROUND(100/'数据-取费表'!G16,0)</f>
        <v>108</v>
      </c>
      <c r="G12" s="528" t="s">
        <v>3228</v>
      </c>
      <c r="H12" s="253">
        <f>ROUND(100/'数据-取费表'!G16,0)</f>
        <v>108</v>
      </c>
      <c r="I12" s="528" t="s">
        <v>3228</v>
      </c>
      <c r="J12" s="253">
        <f>ROUND(100/'数据-取费表'!G16,0)</f>
        <v>108</v>
      </c>
      <c r="K12" s="529"/>
      <c r="L12" s="2121"/>
      <c r="M12" s="2115"/>
      <c r="N12" s="2115"/>
      <c r="O12" s="2122"/>
      <c r="P12" s="3375"/>
      <c r="Q12" s="1144" t="str">
        <f t="shared" si="6"/>
        <v>土地使用年限（年）</v>
      </c>
      <c r="R12" s="1552" t="s">
        <v>8</v>
      </c>
      <c r="S12" s="1553">
        <f t="shared" si="0"/>
        <v>108</v>
      </c>
      <c r="T12" s="1552" t="s">
        <v>8</v>
      </c>
      <c r="U12" s="1553">
        <f t="shared" si="1"/>
        <v>108</v>
      </c>
      <c r="V12" s="1552" t="s">
        <v>8</v>
      </c>
      <c r="W12" s="1553">
        <f t="shared" si="2"/>
        <v>108</v>
      </c>
      <c r="X12" s="1554"/>
      <c r="Y12" s="3321"/>
      <c r="Z12" s="1143" t="str">
        <f t="shared" si="7"/>
        <v>土地使用年限（年）</v>
      </c>
      <c r="AA12" s="1555">
        <f t="shared" si="3"/>
        <v>0.92592592592592593</v>
      </c>
      <c r="AB12" s="1555">
        <f t="shared" si="4"/>
        <v>0.92592592592592593</v>
      </c>
      <c r="AC12" s="1555">
        <f t="shared" si="5"/>
        <v>0.92592592592592593</v>
      </c>
    </row>
    <row r="13" spans="1:30" ht="21" thickBot="1">
      <c r="A13" s="2869"/>
      <c r="B13" s="2873" t="s">
        <v>2756</v>
      </c>
      <c r="C13" s="532">
        <v>2.2000000000000002</v>
      </c>
      <c r="D13" s="253">
        <v>100</v>
      </c>
      <c r="E13" s="531">
        <v>1.5</v>
      </c>
      <c r="F13" s="253">
        <f>LOOKUP(E13,82:82,83:83)-LOOKUP(C13,82:82,83:83)+100</f>
        <v>101</v>
      </c>
      <c r="G13" s="532">
        <v>1.4</v>
      </c>
      <c r="H13" s="253">
        <f>LOOKUP(G13,82:82,83:83)-LOOKUP(C13,82:82,83:83)+100</f>
        <v>101</v>
      </c>
      <c r="I13" s="531">
        <v>1.2</v>
      </c>
      <c r="J13" s="253">
        <f>LOOKUP(I13,82:82,83:83)-LOOKUP(C13,82:82,83:83)+100</f>
        <v>101</v>
      </c>
      <c r="K13" s="533">
        <v>1</v>
      </c>
      <c r="L13" s="2123"/>
      <c r="M13" s="2115"/>
      <c r="N13" s="2115"/>
      <c r="O13" s="2124"/>
      <c r="P13" s="3375"/>
      <c r="Q13" s="1144" t="str">
        <f t="shared" si="6"/>
        <v>容积率</v>
      </c>
      <c r="R13" s="1552" t="s">
        <v>8</v>
      </c>
      <c r="S13" s="1553">
        <f t="shared" si="0"/>
        <v>101</v>
      </c>
      <c r="T13" s="1552" t="s">
        <v>8</v>
      </c>
      <c r="U13" s="1553">
        <f t="shared" si="1"/>
        <v>101</v>
      </c>
      <c r="V13" s="1552" t="s">
        <v>8</v>
      </c>
      <c r="W13" s="1553">
        <f t="shared" si="2"/>
        <v>101</v>
      </c>
      <c r="X13" s="1554"/>
      <c r="Y13" s="3321"/>
      <c r="Z13" s="1143" t="str">
        <f t="shared" si="7"/>
        <v>容积率</v>
      </c>
      <c r="AA13" s="1555">
        <f t="shared" si="3"/>
        <v>0.99009900990099009</v>
      </c>
      <c r="AB13" s="1555">
        <f t="shared" si="4"/>
        <v>0.99009900990099009</v>
      </c>
      <c r="AC13" s="1555">
        <f t="shared" si="5"/>
        <v>0.99009900990099009</v>
      </c>
    </row>
    <row r="14" spans="1:30" s="1213" customFormat="1" ht="20.25" hidden="1">
      <c r="A14" s="2866"/>
      <c r="B14" s="2875" t="s">
        <v>2757</v>
      </c>
      <c r="C14" s="2862"/>
      <c r="D14" s="536">
        <v>100</v>
      </c>
      <c r="E14" s="1368"/>
      <c r="F14" s="253">
        <f>SUMIF(84:84,E14,85:85)-SUMIF(84:84,C14,85:85)+100</f>
        <v>100</v>
      </c>
      <c r="G14" s="528"/>
      <c r="H14" s="253">
        <f>SUMIF(84:84,G14,85:85)-SUMIF(84:84,C14,85:85)+100</f>
        <v>100</v>
      </c>
      <c r="I14" s="527"/>
      <c r="J14" s="253">
        <f>SUMIF(84:84,I14,85:85)-SUMIF(84:84,C14,85:85)+100</f>
        <v>100</v>
      </c>
      <c r="K14" s="529"/>
      <c r="L14" s="2118"/>
      <c r="M14" s="2115"/>
      <c r="N14" s="2115"/>
      <c r="O14" s="2120"/>
      <c r="P14" s="3375"/>
      <c r="Q14" s="1144" t="str">
        <f t="shared" si="6"/>
        <v>配建</v>
      </c>
      <c r="R14" s="1552" t="s">
        <v>8</v>
      </c>
      <c r="S14" s="1553">
        <f t="shared" si="0"/>
        <v>100</v>
      </c>
      <c r="T14" s="1552" t="s">
        <v>8</v>
      </c>
      <c r="U14" s="1553">
        <f t="shared" si="1"/>
        <v>100</v>
      </c>
      <c r="V14" s="1552" t="s">
        <v>8</v>
      </c>
      <c r="W14" s="1553">
        <f t="shared" si="2"/>
        <v>100</v>
      </c>
      <c r="X14" s="1554"/>
      <c r="Y14" s="3321"/>
      <c r="Z14" s="1143" t="str">
        <f t="shared" si="7"/>
        <v>配建</v>
      </c>
      <c r="AA14" s="1555">
        <f>D14/F14</f>
        <v>1</v>
      </c>
      <c r="AB14" s="1555">
        <f>D14/H14</f>
        <v>1</v>
      </c>
      <c r="AC14" s="1555">
        <f>D14/J14</f>
        <v>1</v>
      </c>
    </row>
    <row r="15" spans="1:30" ht="20.25" hidden="1">
      <c r="A15" s="2870"/>
      <c r="B15" s="2876">
        <v>111</v>
      </c>
      <c r="C15" s="909"/>
      <c r="D15" s="538">
        <v>100</v>
      </c>
      <c r="E15" s="539"/>
      <c r="F15" s="253">
        <f>SUMIF(86:86,E15,87:87)-SUMIF(86:86,C15,87:87)+100</f>
        <v>100</v>
      </c>
      <c r="G15" s="540"/>
      <c r="H15" s="538">
        <f>SUMIF(86:86,G15,87:87)-SUMIF(86:86,C15,87:87)+100</f>
        <v>100</v>
      </c>
      <c r="I15" s="540"/>
      <c r="J15" s="538">
        <f>SUMIF(86:86,I15,87:87)-SUMIF(86:86,C15,87:87)+100</f>
        <v>100</v>
      </c>
      <c r="K15" s="529"/>
      <c r="L15" s="2125"/>
      <c r="M15" s="2115"/>
      <c r="N15" s="2115"/>
      <c r="O15" s="2124"/>
      <c r="P15" s="3375"/>
      <c r="Q15" s="1144">
        <f t="shared" si="6"/>
        <v>111</v>
      </c>
      <c r="R15" s="1552" t="s">
        <v>8</v>
      </c>
      <c r="S15" s="1553">
        <f t="shared" si="0"/>
        <v>100</v>
      </c>
      <c r="T15" s="1552" t="s">
        <v>8</v>
      </c>
      <c r="U15" s="1553">
        <f t="shared" si="1"/>
        <v>100</v>
      </c>
      <c r="V15" s="1552" t="s">
        <v>8</v>
      </c>
      <c r="W15" s="1553">
        <f t="shared" si="2"/>
        <v>100</v>
      </c>
      <c r="X15" s="1554"/>
      <c r="Y15" s="3321"/>
      <c r="Z15" s="1143">
        <f t="shared" si="7"/>
        <v>111</v>
      </c>
      <c r="AA15" s="1555">
        <f>D15/F15</f>
        <v>1</v>
      </c>
      <c r="AB15" s="1555">
        <f>D15/H15</f>
        <v>1</v>
      </c>
      <c r="AC15" s="1555">
        <f>D15/J15</f>
        <v>1</v>
      </c>
    </row>
    <row r="16" spans="1:30" ht="21" hidden="1" thickBot="1">
      <c r="A16" s="2871"/>
      <c r="B16" s="2877">
        <v>111</v>
      </c>
      <c r="C16" s="912"/>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375"/>
      <c r="Q16" s="1144">
        <f t="shared" si="6"/>
        <v>111</v>
      </c>
      <c r="R16" s="1552" t="s">
        <v>8</v>
      </c>
      <c r="S16" s="1553">
        <f t="shared" si="0"/>
        <v>100</v>
      </c>
      <c r="T16" s="1552" t="s">
        <v>8</v>
      </c>
      <c r="U16" s="1553">
        <f t="shared" si="1"/>
        <v>100</v>
      </c>
      <c r="V16" s="1552" t="s">
        <v>8</v>
      </c>
      <c r="W16" s="1553">
        <f t="shared" si="2"/>
        <v>100</v>
      </c>
      <c r="X16" s="1554"/>
      <c r="Y16" s="3321"/>
      <c r="Z16" s="1143">
        <f t="shared" si="7"/>
        <v>111</v>
      </c>
      <c r="AA16" s="1555">
        <f>D16/F16</f>
        <v>1</v>
      </c>
      <c r="AB16" s="1555">
        <f>D16/H16</f>
        <v>1</v>
      </c>
      <c r="AC16" s="1555">
        <f>D16/J16</f>
        <v>1</v>
      </c>
    </row>
    <row r="17" spans="1:29" ht="81.75" customHeight="1">
      <c r="A17" s="2863" t="s">
        <v>2752</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103</v>
      </c>
      <c r="G17" s="548"/>
      <c r="H17" s="547">
        <f>SUMIF(90:90,G18,91:91)-SUMIF(90:90,C18,91:91)+100</f>
        <v>100</v>
      </c>
      <c r="I17" s="550"/>
      <c r="J17" s="547">
        <f>SUMIF(90:90,I18,91:91)-SUMIF(90:90,C18,91:91)+100</f>
        <v>100</v>
      </c>
      <c r="K17" s="533">
        <v>3</v>
      </c>
      <c r="L17" s="2125"/>
      <c r="M17" s="2115"/>
      <c r="N17" s="2115"/>
      <c r="O17" s="2124"/>
      <c r="P17" s="3411" t="s">
        <v>540</v>
      </c>
      <c r="Q17" s="1556" t="str">
        <f t="shared" si="6"/>
        <v>居住社区成熟度</v>
      </c>
      <c r="R17" s="1557" t="s">
        <v>8</v>
      </c>
      <c r="S17" s="1558">
        <f t="shared" si="0"/>
        <v>103</v>
      </c>
      <c r="T17" s="1557" t="s">
        <v>8</v>
      </c>
      <c r="U17" s="1558">
        <f t="shared" si="1"/>
        <v>100</v>
      </c>
      <c r="V17" s="1557" t="s">
        <v>8</v>
      </c>
      <c r="W17" s="1558">
        <f t="shared" si="2"/>
        <v>100</v>
      </c>
      <c r="X17" s="1551"/>
      <c r="Y17" s="3411" t="s">
        <v>540</v>
      </c>
      <c r="Z17" s="1559" t="str">
        <f t="shared" si="7"/>
        <v>居住社区成熟度</v>
      </c>
      <c r="AA17" s="1560">
        <f t="shared" si="3"/>
        <v>0.970873786407767</v>
      </c>
      <c r="AB17" s="1560">
        <f t="shared" si="4"/>
        <v>1</v>
      </c>
      <c r="AC17" s="1560">
        <f t="shared" si="5"/>
        <v>1</v>
      </c>
    </row>
    <row r="18" spans="1:29" ht="20.25">
      <c r="A18" s="530"/>
      <c r="B18" s="551"/>
      <c r="C18" s="552" t="s">
        <v>3178</v>
      </c>
      <c r="D18" s="555"/>
      <c r="E18" s="556" t="s">
        <v>3179</v>
      </c>
      <c r="F18" s="553"/>
      <c r="G18" s="554" t="s">
        <v>3178</v>
      </c>
      <c r="H18" s="557"/>
      <c r="I18" s="556" t="s">
        <v>3178</v>
      </c>
      <c r="J18" s="553"/>
      <c r="K18" s="529"/>
      <c r="L18" s="2125"/>
      <c r="M18" s="2115"/>
      <c r="N18" s="2115"/>
      <c r="O18" s="2124"/>
      <c r="P18" s="3412"/>
      <c r="Q18" s="1556"/>
      <c r="R18" s="1557"/>
      <c r="S18" s="1558"/>
      <c r="T18" s="1557"/>
      <c r="U18" s="1558"/>
      <c r="V18" s="1557"/>
      <c r="W18" s="1558"/>
      <c r="X18" s="1551"/>
      <c r="Y18" s="3412"/>
      <c r="Z18" s="1559"/>
      <c r="AA18" s="1560">
        <v>1</v>
      </c>
      <c r="AB18" s="1560">
        <v>1</v>
      </c>
      <c r="AC18" s="1560">
        <v>1</v>
      </c>
    </row>
    <row r="19" spans="1:29" ht="54" customHeight="1">
      <c r="A19" s="530"/>
      <c r="B19" s="558" t="s">
        <v>541</v>
      </c>
      <c r="C19" s="559" t="str">
        <f>估价对象房地状况!C16</f>
        <v>估价对象位于XX商圈，周边商业氛围成熟，人流量大，商业繁华度好</v>
      </c>
      <c r="D19" s="561">
        <v>100</v>
      </c>
      <c r="E19" s="562"/>
      <c r="F19" s="557">
        <f>SUMIF(92:92,E20,93:93)-SUMIF(92:92,C20,93:93)+100</f>
        <v>104</v>
      </c>
      <c r="G19" s="560"/>
      <c r="H19" s="563">
        <f>SUMIF(92:92,G20,93:93)-SUMIF(92:92,C20,93:93)+100</f>
        <v>100</v>
      </c>
      <c r="I19" s="562"/>
      <c r="J19" s="563">
        <f>SUMIF(92:92,I20,93:93)-SUMIF(92:92,C20,93:93)+100</f>
        <v>100</v>
      </c>
      <c r="K19" s="533">
        <v>2</v>
      </c>
      <c r="L19" s="2125"/>
      <c r="M19" s="2115"/>
      <c r="N19" s="2115"/>
      <c r="O19" s="2124"/>
      <c r="P19" s="3412"/>
      <c r="Q19" s="1556" t="str">
        <f>B19</f>
        <v>商业繁华度</v>
      </c>
      <c r="R19" s="1557" t="s">
        <v>8</v>
      </c>
      <c r="S19" s="1558">
        <f>F19</f>
        <v>104</v>
      </c>
      <c r="T19" s="1557" t="s">
        <v>8</v>
      </c>
      <c r="U19" s="1558">
        <f>H19</f>
        <v>100</v>
      </c>
      <c r="V19" s="1557" t="s">
        <v>8</v>
      </c>
      <c r="W19" s="1558">
        <f>J19</f>
        <v>100</v>
      </c>
      <c r="X19" s="1551"/>
      <c r="Y19" s="3412"/>
      <c r="Z19" s="1559" t="str">
        <f>Q19</f>
        <v>商业繁华度</v>
      </c>
      <c r="AA19" s="1560">
        <f t="shared" si="3"/>
        <v>0.96153846153846156</v>
      </c>
      <c r="AB19" s="1560">
        <f t="shared" si="4"/>
        <v>1</v>
      </c>
      <c r="AC19" s="1560">
        <f t="shared" si="5"/>
        <v>1</v>
      </c>
    </row>
    <row r="20" spans="1:29" ht="20.25">
      <c r="A20" s="530"/>
      <c r="B20" s="564"/>
      <c r="C20" s="565" t="s">
        <v>3219</v>
      </c>
      <c r="D20" s="561"/>
      <c r="E20" s="565" t="s">
        <v>3179</v>
      </c>
      <c r="F20" s="557"/>
      <c r="G20" s="565" t="s">
        <v>3219</v>
      </c>
      <c r="H20" s="553"/>
      <c r="I20" s="565" t="s">
        <v>3219</v>
      </c>
      <c r="J20" s="553"/>
      <c r="K20" s="529"/>
      <c r="L20" s="2125"/>
      <c r="M20" s="2115"/>
      <c r="N20" s="2115"/>
      <c r="O20" s="2124"/>
      <c r="P20" s="3412"/>
      <c r="Q20" s="1556"/>
      <c r="R20" s="1557"/>
      <c r="S20" s="1558"/>
      <c r="T20" s="1557"/>
      <c r="U20" s="1558"/>
      <c r="V20" s="1557"/>
      <c r="W20" s="1558"/>
      <c r="X20" s="1551"/>
      <c r="Y20" s="3412"/>
      <c r="Z20" s="1559"/>
      <c r="AA20" s="1560">
        <v>1</v>
      </c>
      <c r="AB20" s="1560">
        <v>1</v>
      </c>
      <c r="AC20" s="1560">
        <v>1</v>
      </c>
    </row>
    <row r="21" spans="1:29" ht="39" hidden="1" customHeight="1">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5"/>
      <c r="M21" s="2115"/>
      <c r="N21" s="2115"/>
      <c r="O21" s="2124"/>
      <c r="P21" s="3412"/>
      <c r="Q21" s="1556" t="str">
        <f>B21</f>
        <v>办公集聚程度</v>
      </c>
      <c r="R21" s="1557" t="s">
        <v>8</v>
      </c>
      <c r="S21" s="1558">
        <f>F21</f>
        <v>100</v>
      </c>
      <c r="T21" s="1557" t="s">
        <v>8</v>
      </c>
      <c r="U21" s="1558">
        <f>H21</f>
        <v>100</v>
      </c>
      <c r="V21" s="1557" t="s">
        <v>8</v>
      </c>
      <c r="W21" s="1558">
        <f>J21</f>
        <v>100</v>
      </c>
      <c r="X21" s="1551"/>
      <c r="Y21" s="3412"/>
      <c r="Z21" s="1559" t="str">
        <f>Q21</f>
        <v>办公集聚程度</v>
      </c>
      <c r="AA21" s="1560">
        <f t="shared" si="3"/>
        <v>1</v>
      </c>
      <c r="AB21" s="1560">
        <f t="shared" si="4"/>
        <v>1</v>
      </c>
      <c r="AC21" s="1560">
        <f t="shared" si="5"/>
        <v>1</v>
      </c>
    </row>
    <row r="22" spans="1:29" ht="20.25" hidden="1">
      <c r="A22" s="530"/>
      <c r="B22" s="564"/>
      <c r="C22" s="552"/>
      <c r="D22" s="555"/>
      <c r="E22" s="556"/>
      <c r="F22" s="553"/>
      <c r="G22" s="554"/>
      <c r="H22" s="553"/>
      <c r="I22" s="556"/>
      <c r="J22" s="553"/>
      <c r="K22" s="529"/>
      <c r="L22" s="2125"/>
      <c r="M22" s="2115"/>
      <c r="N22" s="2115"/>
      <c r="O22" s="2124"/>
      <c r="P22" s="3412"/>
      <c r="Q22" s="1556"/>
      <c r="R22" s="1557"/>
      <c r="S22" s="1558"/>
      <c r="T22" s="1557"/>
      <c r="U22" s="1558"/>
      <c r="V22" s="1557"/>
      <c r="W22" s="1558"/>
      <c r="X22" s="1551"/>
      <c r="Y22" s="3412"/>
      <c r="Z22" s="1559"/>
      <c r="AA22" s="1560">
        <v>1</v>
      </c>
      <c r="AB22" s="1560">
        <v>1</v>
      </c>
      <c r="AC22" s="1560">
        <v>1</v>
      </c>
    </row>
    <row r="23" spans="1:29" ht="42" customHeight="1">
      <c r="A23" s="530"/>
      <c r="B23" s="558" t="s">
        <v>543</v>
      </c>
      <c r="C23" s="571" t="str">
        <f>估价对象房地状况!C18</f>
        <v>估价对象周边道路状况、公共交通通达情况、停车便捷程度，综合评价交通便捷度较好</v>
      </c>
      <c r="D23" s="561">
        <v>100</v>
      </c>
      <c r="E23" s="562"/>
      <c r="F23" s="563">
        <f>SUMIF(96:96,E24,97:97)-SUMIF(96:96,C24,97:97)+100</f>
        <v>102</v>
      </c>
      <c r="G23" s="560"/>
      <c r="H23" s="557">
        <f>SUMIF(96:96,G24,97:97)-SUMIF(96:96,C24,97:97)+100</f>
        <v>100</v>
      </c>
      <c r="I23" s="562"/>
      <c r="J23" s="557">
        <f>SUMIF(96:96,I24,97:97)-SUMIF(96:96,C24,97:97)+100</f>
        <v>100</v>
      </c>
      <c r="K23" s="533">
        <v>2</v>
      </c>
      <c r="L23" s="2125"/>
      <c r="M23" s="2115"/>
      <c r="N23" s="2115"/>
      <c r="O23" s="2124"/>
      <c r="P23" s="3412"/>
      <c r="Q23" s="1556" t="str">
        <f>B23</f>
        <v>交通便捷度</v>
      </c>
      <c r="R23" s="1557" t="s">
        <v>8</v>
      </c>
      <c r="S23" s="1558">
        <f>F23</f>
        <v>102</v>
      </c>
      <c r="T23" s="1557" t="s">
        <v>8</v>
      </c>
      <c r="U23" s="1558">
        <f>H23</f>
        <v>100</v>
      </c>
      <c r="V23" s="1557" t="s">
        <v>8</v>
      </c>
      <c r="W23" s="1558">
        <f>J23</f>
        <v>100</v>
      </c>
      <c r="X23" s="1551"/>
      <c r="Y23" s="3412"/>
      <c r="Z23" s="1559" t="str">
        <f>Q23</f>
        <v>交通便捷度</v>
      </c>
      <c r="AA23" s="1560">
        <f t="shared" si="3"/>
        <v>0.98039215686274506</v>
      </c>
      <c r="AB23" s="1560">
        <f t="shared" si="4"/>
        <v>1</v>
      </c>
      <c r="AC23" s="1560">
        <f t="shared" si="5"/>
        <v>1</v>
      </c>
    </row>
    <row r="24" spans="1:29" ht="20.25">
      <c r="A24" s="530"/>
      <c r="B24" s="576"/>
      <c r="C24" s="552" t="s">
        <v>3178</v>
      </c>
      <c r="D24" s="555"/>
      <c r="E24" s="556" t="s">
        <v>3179</v>
      </c>
      <c r="F24" s="553"/>
      <c r="G24" s="554" t="s">
        <v>3178</v>
      </c>
      <c r="H24" s="553"/>
      <c r="I24" s="556" t="s">
        <v>3178</v>
      </c>
      <c r="J24" s="553"/>
      <c r="K24" s="529"/>
      <c r="L24" s="2125"/>
      <c r="M24" s="2115"/>
      <c r="N24" s="2115"/>
      <c r="O24" s="2124"/>
      <c r="P24" s="3412"/>
      <c r="Q24" s="1556"/>
      <c r="R24" s="1557"/>
      <c r="S24" s="1558"/>
      <c r="T24" s="1557"/>
      <c r="U24" s="1558"/>
      <c r="V24" s="1557"/>
      <c r="W24" s="1558"/>
      <c r="X24" s="1551"/>
      <c r="Y24" s="3412"/>
      <c r="Z24" s="1559"/>
      <c r="AA24" s="1560">
        <v>1</v>
      </c>
      <c r="AB24" s="1560">
        <v>1</v>
      </c>
      <c r="AC24" s="1560">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5"/>
      <c r="M25" s="2115"/>
      <c r="N25" s="2115"/>
      <c r="O25" s="2124"/>
      <c r="P25" s="3412"/>
      <c r="Q25" s="1556" t="str">
        <f t="shared" ref="Q25:Q39" si="8">B25</f>
        <v>区域土地利用方向</v>
      </c>
      <c r="R25" s="1557" t="s">
        <v>8</v>
      </c>
      <c r="S25" s="1558">
        <f>F25</f>
        <v>100</v>
      </c>
      <c r="T25" s="1557" t="s">
        <v>8</v>
      </c>
      <c r="U25" s="1558">
        <f>H25</f>
        <v>100</v>
      </c>
      <c r="V25" s="1557" t="s">
        <v>8</v>
      </c>
      <c r="W25" s="1558">
        <f>J25</f>
        <v>100</v>
      </c>
      <c r="X25" s="1551"/>
      <c r="Y25" s="3412"/>
      <c r="Z25" s="1559" t="str">
        <f>Q25</f>
        <v>区域土地利用方向</v>
      </c>
      <c r="AA25" s="1560">
        <f t="shared" si="3"/>
        <v>1</v>
      </c>
      <c r="AB25" s="1560">
        <f t="shared" si="4"/>
        <v>1</v>
      </c>
      <c r="AC25" s="1560">
        <f t="shared" si="5"/>
        <v>1</v>
      </c>
    </row>
    <row r="26" spans="1:29" ht="20.25">
      <c r="A26" s="513"/>
      <c r="B26" s="1004"/>
      <c r="C26" s="552" t="s">
        <v>3179</v>
      </c>
      <c r="D26" s="555"/>
      <c r="E26" s="556" t="s">
        <v>3179</v>
      </c>
      <c r="F26" s="553"/>
      <c r="G26" s="556" t="s">
        <v>3179</v>
      </c>
      <c r="H26" s="553"/>
      <c r="I26" s="556" t="s">
        <v>3179</v>
      </c>
      <c r="J26" s="553"/>
      <c r="K26" s="529"/>
      <c r="L26" s="2125"/>
      <c r="M26" s="2115"/>
      <c r="N26" s="2115"/>
      <c r="O26" s="2124"/>
      <c r="P26" s="3412"/>
      <c r="Q26" s="1556"/>
      <c r="R26" s="1557"/>
      <c r="S26" s="1558"/>
      <c r="T26" s="1557"/>
      <c r="U26" s="1558"/>
      <c r="V26" s="1557"/>
      <c r="W26" s="1558"/>
      <c r="X26" s="1551"/>
      <c r="Y26" s="3412"/>
      <c r="Z26" s="1559"/>
      <c r="AA26" s="1560"/>
      <c r="AB26" s="1560"/>
      <c r="AC26" s="1560"/>
    </row>
    <row r="27" spans="1:29" ht="36" customHeight="1">
      <c r="A27" s="513"/>
      <c r="B27" s="576" t="s">
        <v>545</v>
      </c>
      <c r="C27" s="559" t="str">
        <f>估价对象房地状况!C20</f>
        <v>区域自然环境：；人文环境；综合评价环境状况一般</v>
      </c>
      <c r="D27" s="561">
        <v>100</v>
      </c>
      <c r="E27" s="562"/>
      <c r="F27" s="557">
        <f>SUMIF(100:100,E28,101:101)-SUMIF(100:100,C28,101:101)+100</f>
        <v>101</v>
      </c>
      <c r="G27" s="560"/>
      <c r="H27" s="557">
        <f>SUMIF(100:100,G28,101:101)-SUMIF(100:100,C28,101:101)+100</f>
        <v>100</v>
      </c>
      <c r="I27" s="562"/>
      <c r="J27" s="557">
        <f>SUMIF(100:100,I28,101:101)-SUMIF(100:100,C28,101:101)+100</f>
        <v>101</v>
      </c>
      <c r="K27" s="533">
        <v>1</v>
      </c>
      <c r="L27" s="2125"/>
      <c r="M27" s="2115"/>
      <c r="N27" s="2115"/>
      <c r="O27" s="2124"/>
      <c r="P27" s="3412"/>
      <c r="Q27" s="1556" t="str">
        <f t="shared" si="8"/>
        <v>自然及人文环境状况</v>
      </c>
      <c r="R27" s="1557" t="s">
        <v>8</v>
      </c>
      <c r="S27" s="1558">
        <f>F27</f>
        <v>101</v>
      </c>
      <c r="T27" s="1557" t="s">
        <v>8</v>
      </c>
      <c r="U27" s="1558">
        <f>H27</f>
        <v>100</v>
      </c>
      <c r="V27" s="1557" t="s">
        <v>8</v>
      </c>
      <c r="W27" s="1558">
        <f>J27</f>
        <v>101</v>
      </c>
      <c r="X27" s="1551"/>
      <c r="Y27" s="3412"/>
      <c r="Z27" s="1559" t="str">
        <f>Q27</f>
        <v>自然及人文环境状况</v>
      </c>
      <c r="AA27" s="1560">
        <f t="shared" si="3"/>
        <v>0.99009900990099009</v>
      </c>
      <c r="AB27" s="1560">
        <f t="shared" si="4"/>
        <v>1</v>
      </c>
      <c r="AC27" s="1560">
        <f t="shared" si="5"/>
        <v>0.99009900990099009</v>
      </c>
    </row>
    <row r="28" spans="1:29" ht="20.25">
      <c r="A28" s="513"/>
      <c r="B28" s="564"/>
      <c r="C28" s="552" t="s">
        <v>3178</v>
      </c>
      <c r="D28" s="555"/>
      <c r="E28" s="556" t="s">
        <v>3179</v>
      </c>
      <c r="F28" s="553"/>
      <c r="G28" s="556" t="s">
        <v>3178</v>
      </c>
      <c r="H28" s="553"/>
      <c r="I28" s="556" t="s">
        <v>3179</v>
      </c>
      <c r="J28" s="553"/>
      <c r="K28" s="529"/>
      <c r="L28" s="2125"/>
      <c r="M28" s="2115"/>
      <c r="N28" s="2115"/>
      <c r="O28" s="2124"/>
      <c r="P28" s="3412"/>
      <c r="Q28" s="1556"/>
      <c r="R28" s="1557"/>
      <c r="S28" s="1558"/>
      <c r="T28" s="1557"/>
      <c r="U28" s="1558"/>
      <c r="V28" s="1557"/>
      <c r="W28" s="1558"/>
      <c r="X28" s="1551"/>
      <c r="Y28" s="3412"/>
      <c r="Z28" s="1559"/>
      <c r="AA28" s="1560">
        <v>1</v>
      </c>
      <c r="AB28" s="1560">
        <v>1</v>
      </c>
      <c r="AC28" s="1560">
        <v>1</v>
      </c>
    </row>
    <row r="29" spans="1:29" s="1213" customFormat="1" ht="42.75">
      <c r="A29" s="575"/>
      <c r="B29" s="2553" t="s">
        <v>2546</v>
      </c>
      <c r="C29" s="571" t="str">
        <f>估价对象房地状况!C21</f>
        <v>估价对象所在区域公共配套设施齐备情况</v>
      </c>
      <c r="D29" s="561">
        <v>100</v>
      </c>
      <c r="E29" s="562"/>
      <c r="F29" s="557">
        <f>SUMIF(102:102,E30,103:103)-SUMIF(102:102,C30,103:103)+100</f>
        <v>101</v>
      </c>
      <c r="G29" s="560"/>
      <c r="H29" s="557">
        <f>SUMIF(102:102,G30,103:103)-SUMIF(102:102,C30,103:103)+100</f>
        <v>100</v>
      </c>
      <c r="I29" s="562"/>
      <c r="J29" s="557">
        <f>SUMIF(102:102,I30,103:103)-SUMIF(102:102,C30,103:103)+100</f>
        <v>100</v>
      </c>
      <c r="K29" s="533">
        <v>1</v>
      </c>
      <c r="L29" s="2118"/>
      <c r="M29" s="2115"/>
      <c r="N29" s="2115"/>
      <c r="O29" s="2120"/>
      <c r="P29" s="3412"/>
      <c r="Q29" s="1144" t="str">
        <f t="shared" si="8"/>
        <v>公共配套设施</v>
      </c>
      <c r="R29" s="1552" t="s">
        <v>8</v>
      </c>
      <c r="S29" s="1553">
        <f>F29</f>
        <v>101</v>
      </c>
      <c r="T29" s="1552" t="s">
        <v>8</v>
      </c>
      <c r="U29" s="1553">
        <f>H29</f>
        <v>100</v>
      </c>
      <c r="V29" s="1552" t="s">
        <v>8</v>
      </c>
      <c r="W29" s="1553">
        <f>J29</f>
        <v>100</v>
      </c>
      <c r="X29" s="1554"/>
      <c r="Y29" s="3412"/>
      <c r="Z29" s="1143" t="str">
        <f>Q29</f>
        <v>公共配套设施</v>
      </c>
      <c r="AA29" s="1560">
        <f>D29/F29</f>
        <v>0.99009900990099009</v>
      </c>
      <c r="AB29" s="1560">
        <f>D29/H29</f>
        <v>1</v>
      </c>
      <c r="AC29" s="1560">
        <f>D29/J29</f>
        <v>1</v>
      </c>
    </row>
    <row r="30" spans="1:29" s="1213" customFormat="1" ht="20.25">
      <c r="A30" s="575"/>
      <c r="B30" s="564"/>
      <c r="C30" s="577" t="s">
        <v>3178</v>
      </c>
      <c r="D30" s="555"/>
      <c r="E30" s="556" t="s">
        <v>3179</v>
      </c>
      <c r="F30" s="553"/>
      <c r="G30" s="556" t="s">
        <v>3178</v>
      </c>
      <c r="H30" s="553"/>
      <c r="I30" s="574" t="s">
        <v>3178</v>
      </c>
      <c r="J30" s="553"/>
      <c r="K30" s="529"/>
      <c r="L30" s="2118"/>
      <c r="M30" s="2115"/>
      <c r="N30" s="2115"/>
      <c r="O30" s="2120"/>
      <c r="P30" s="3412"/>
      <c r="Q30" s="1144"/>
      <c r="R30" s="1552"/>
      <c r="S30" s="1553"/>
      <c r="T30" s="1552"/>
      <c r="U30" s="1553"/>
      <c r="V30" s="1552"/>
      <c r="W30" s="1553"/>
      <c r="X30" s="1554"/>
      <c r="Y30" s="3412"/>
      <c r="Z30" s="1143"/>
      <c r="AA30" s="1560">
        <v>1</v>
      </c>
      <c r="AB30" s="1560">
        <v>1</v>
      </c>
      <c r="AC30" s="1560">
        <v>1</v>
      </c>
    </row>
    <row r="31" spans="1:29" s="1213" customFormat="1" ht="28.5">
      <c r="A31" s="575"/>
      <c r="B31" s="2553" t="s">
        <v>2547</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8"/>
      <c r="M31" s="2115"/>
      <c r="N31" s="2115"/>
      <c r="O31" s="2120"/>
      <c r="P31" s="3412"/>
      <c r="Q31" s="2540" t="str">
        <f t="shared" ref="Q31" si="9">B31</f>
        <v>基础设施水平</v>
      </c>
      <c r="R31" s="1552" t="s">
        <v>8</v>
      </c>
      <c r="S31" s="1553">
        <f>F31</f>
        <v>100</v>
      </c>
      <c r="T31" s="1552" t="s">
        <v>8</v>
      </c>
      <c r="U31" s="1553">
        <f>H31</f>
        <v>100</v>
      </c>
      <c r="V31" s="1552" t="s">
        <v>8</v>
      </c>
      <c r="W31" s="1553">
        <f>J31</f>
        <v>100</v>
      </c>
      <c r="X31" s="1554"/>
      <c r="Y31" s="3412"/>
      <c r="Z31" s="2537" t="str">
        <f>Q31</f>
        <v>基础设施水平</v>
      </c>
      <c r="AA31" s="1560">
        <f>D31/F31</f>
        <v>1</v>
      </c>
      <c r="AB31" s="1560">
        <f>D31/H31</f>
        <v>1</v>
      </c>
      <c r="AC31" s="1560">
        <f>D31/J31</f>
        <v>1</v>
      </c>
    </row>
    <row r="32" spans="1:29" s="1213" customFormat="1" ht="21" thickBot="1">
      <c r="A32" s="575"/>
      <c r="B32" s="564"/>
      <c r="C32" s="577" t="s">
        <v>3180</v>
      </c>
      <c r="D32" s="555"/>
      <c r="E32" s="2554" t="s">
        <v>3180</v>
      </c>
      <c r="F32" s="553"/>
      <c r="G32" s="577" t="s">
        <v>3180</v>
      </c>
      <c r="H32" s="553"/>
      <c r="I32" s="577" t="s">
        <v>3180</v>
      </c>
      <c r="J32" s="553"/>
      <c r="K32" s="529"/>
      <c r="L32" s="2118"/>
      <c r="M32" s="2115"/>
      <c r="N32" s="2115"/>
      <c r="O32" s="2120"/>
      <c r="P32" s="3412"/>
      <c r="Q32" s="2540"/>
      <c r="R32" s="1552"/>
      <c r="S32" s="1553"/>
      <c r="T32" s="1552"/>
      <c r="U32" s="1553"/>
      <c r="V32" s="1552"/>
      <c r="W32" s="1553"/>
      <c r="X32" s="1554"/>
      <c r="Y32" s="3412"/>
      <c r="Z32" s="2537"/>
      <c r="AA32" s="1560">
        <v>1</v>
      </c>
      <c r="AB32" s="1560">
        <v>1</v>
      </c>
      <c r="AC32" s="1560">
        <v>1</v>
      </c>
    </row>
    <row r="33" spans="1:29" ht="21" hidden="1" thickBot="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1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12"/>
      <c r="Z33" s="1559" t="str">
        <f t="shared" ref="Z33:Z47" si="13">Q33</f>
        <v>临街状况</v>
      </c>
      <c r="AA33" s="1560">
        <f t="shared" si="3"/>
        <v>1</v>
      </c>
      <c r="AB33" s="1560">
        <f t="shared" si="4"/>
        <v>1</v>
      </c>
      <c r="AC33" s="1560">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5"/>
      <c r="M34" s="2115"/>
      <c r="N34" s="2115"/>
      <c r="O34" s="2124"/>
      <c r="P34" s="3412"/>
      <c r="Q34" s="1556" t="str">
        <f t="shared" si="8"/>
        <v>毗邻道路的类型与等级</v>
      </c>
      <c r="R34" s="1557" t="s">
        <v>8</v>
      </c>
      <c r="S34" s="1558">
        <f t="shared" si="10"/>
        <v>100</v>
      </c>
      <c r="T34" s="1557" t="s">
        <v>8</v>
      </c>
      <c r="U34" s="1558">
        <f t="shared" si="11"/>
        <v>100</v>
      </c>
      <c r="V34" s="1557" t="s">
        <v>8</v>
      </c>
      <c r="W34" s="1558">
        <f t="shared" si="12"/>
        <v>100</v>
      </c>
      <c r="X34" s="1551"/>
      <c r="Y34" s="3412"/>
      <c r="Z34" s="1559" t="str">
        <f t="shared" si="13"/>
        <v>毗邻道路的类型与等级</v>
      </c>
      <c r="AA34" s="1560">
        <f t="shared" si="3"/>
        <v>1</v>
      </c>
      <c r="AB34" s="1560">
        <f t="shared" si="4"/>
        <v>1</v>
      </c>
      <c r="AC34" s="1560">
        <f t="shared" si="5"/>
        <v>1</v>
      </c>
    </row>
    <row r="35" spans="1:29" ht="20.25" hidden="1">
      <c r="A35" s="530"/>
      <c r="B35" s="564"/>
      <c r="C35" s="552"/>
      <c r="D35" s="555"/>
      <c r="E35" s="574"/>
      <c r="F35" s="553"/>
      <c r="G35" s="552"/>
      <c r="H35" s="553"/>
      <c r="I35" s="574"/>
      <c r="J35" s="553"/>
      <c r="K35" s="579"/>
      <c r="L35" s="2125"/>
      <c r="M35" s="2115"/>
      <c r="N35" s="2115"/>
      <c r="O35" s="2124"/>
      <c r="P35" s="3412"/>
      <c r="Q35" s="1556"/>
      <c r="R35" s="1557"/>
      <c r="S35" s="1558"/>
      <c r="T35" s="1557"/>
      <c r="U35" s="1558"/>
      <c r="V35" s="1557"/>
      <c r="W35" s="1558"/>
      <c r="X35" s="1551"/>
      <c r="Y35" s="3412"/>
      <c r="Z35" s="1559"/>
      <c r="AA35" s="1560">
        <v>1</v>
      </c>
      <c r="AB35" s="1560">
        <v>1</v>
      </c>
      <c r="AC35" s="1560">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12"/>
      <c r="Q36" s="1556" t="str">
        <f t="shared" si="8"/>
        <v>土地级别</v>
      </c>
      <c r="R36" s="1557" t="s">
        <v>8</v>
      </c>
      <c r="S36" s="1558">
        <f t="shared" si="10"/>
        <v>100</v>
      </c>
      <c r="T36" s="1557" t="s">
        <v>8</v>
      </c>
      <c r="U36" s="1558">
        <f t="shared" si="11"/>
        <v>100</v>
      </c>
      <c r="V36" s="1557" t="s">
        <v>8</v>
      </c>
      <c r="W36" s="1558">
        <f t="shared" si="12"/>
        <v>100</v>
      </c>
      <c r="X36" s="1551"/>
      <c r="Y36" s="3412"/>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12"/>
      <c r="Q37" s="1556">
        <f t="shared" si="8"/>
        <v>111</v>
      </c>
      <c r="R37" s="1557" t="s">
        <v>8</v>
      </c>
      <c r="S37" s="1558">
        <f t="shared" si="10"/>
        <v>100</v>
      </c>
      <c r="T37" s="1557" t="s">
        <v>8</v>
      </c>
      <c r="U37" s="1558">
        <f t="shared" si="11"/>
        <v>100</v>
      </c>
      <c r="V37" s="1557" t="s">
        <v>8</v>
      </c>
      <c r="W37" s="1558">
        <f t="shared" si="12"/>
        <v>100</v>
      </c>
      <c r="X37" s="1551"/>
      <c r="Y37" s="3412"/>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13" t="s">
        <v>550</v>
      </c>
      <c r="Q38" s="1556">
        <f t="shared" si="8"/>
        <v>111</v>
      </c>
      <c r="R38" s="1557" t="s">
        <v>8</v>
      </c>
      <c r="S38" s="1558">
        <f t="shared" si="10"/>
        <v>100</v>
      </c>
      <c r="T38" s="1557" t="s">
        <v>8</v>
      </c>
      <c r="U38" s="1558">
        <f t="shared" si="11"/>
        <v>100</v>
      </c>
      <c r="V38" s="1557" t="s">
        <v>8</v>
      </c>
      <c r="W38" s="1558">
        <f t="shared" si="12"/>
        <v>100</v>
      </c>
      <c r="X38" s="1551"/>
      <c r="Y38" s="3414" t="s">
        <v>550</v>
      </c>
      <c r="Z38" s="1559">
        <f t="shared" si="13"/>
        <v>111</v>
      </c>
      <c r="AA38" s="1560">
        <f t="shared" si="3"/>
        <v>1</v>
      </c>
      <c r="AB38" s="1560">
        <f t="shared" si="4"/>
        <v>1</v>
      </c>
      <c r="AC38" s="1560">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14"/>
      <c r="Q39" s="1556">
        <f t="shared" si="8"/>
        <v>111</v>
      </c>
      <c r="R39" s="1561" t="s">
        <v>8</v>
      </c>
      <c r="S39" s="1562">
        <f t="shared" si="10"/>
        <v>100</v>
      </c>
      <c r="T39" s="1561" t="s">
        <v>8</v>
      </c>
      <c r="U39" s="1562">
        <f t="shared" si="11"/>
        <v>100</v>
      </c>
      <c r="V39" s="1561" t="s">
        <v>8</v>
      </c>
      <c r="W39" s="1562">
        <f t="shared" si="12"/>
        <v>100</v>
      </c>
      <c r="X39" s="1563"/>
      <c r="Y39" s="3414"/>
      <c r="Z39" s="1564">
        <f t="shared" si="13"/>
        <v>111</v>
      </c>
      <c r="AA39" s="1560">
        <f t="shared" si="3"/>
        <v>1</v>
      </c>
      <c r="AB39" s="1560">
        <f t="shared" si="4"/>
        <v>1</v>
      </c>
      <c r="AC39" s="1560">
        <f t="shared" si="5"/>
        <v>1</v>
      </c>
    </row>
    <row r="40" spans="1:29" ht="20.25">
      <c r="A40" s="2860" t="s">
        <v>2753</v>
      </c>
      <c r="B40" s="593" t="s">
        <v>552</v>
      </c>
      <c r="C40" s="594">
        <f>'数据-基础表'!A3</f>
        <v>320191.09999999998</v>
      </c>
      <c r="D40" s="595">
        <v>100</v>
      </c>
      <c r="E40" s="594">
        <v>9989</v>
      </c>
      <c r="F40" s="595">
        <f>LOOKUP(E40,119:119,120:120)-LOOKUP(C40,119:119,120:120)+100</f>
        <v>97</v>
      </c>
      <c r="G40" s="594">
        <v>6925</v>
      </c>
      <c r="H40" s="595">
        <f>LOOKUP(G40,119:119,120:120)-LOOKUP(C40,119:119,120:120)+100</f>
        <v>97</v>
      </c>
      <c r="I40" s="596">
        <v>38231</v>
      </c>
      <c r="J40" s="595">
        <f>LOOKUP(I40,119:119,120:120)-LOOKUP(C40,119:119,120:120)+100</f>
        <v>97</v>
      </c>
      <c r="K40" s="579"/>
      <c r="L40" s="2125"/>
      <c r="M40" s="2115"/>
      <c r="N40" s="2115"/>
      <c r="O40" s="2124"/>
      <c r="P40" s="3414"/>
      <c r="Q40" s="1556" t="str">
        <f>B40</f>
        <v>宗地面积</v>
      </c>
      <c r="R40" s="1557" t="s">
        <v>8</v>
      </c>
      <c r="S40" s="1558">
        <f t="shared" si="10"/>
        <v>97</v>
      </c>
      <c r="T40" s="1557" t="s">
        <v>8</v>
      </c>
      <c r="U40" s="1558">
        <f t="shared" si="11"/>
        <v>97</v>
      </c>
      <c r="V40" s="1557" t="s">
        <v>8</v>
      </c>
      <c r="W40" s="1558">
        <f t="shared" si="12"/>
        <v>97</v>
      </c>
      <c r="X40" s="1551"/>
      <c r="Y40" s="3414"/>
      <c r="Z40" s="1559" t="str">
        <f t="shared" si="13"/>
        <v>宗地面积</v>
      </c>
      <c r="AA40" s="1560">
        <f t="shared" si="3"/>
        <v>1.0309278350515463</v>
      </c>
      <c r="AB40" s="1560">
        <f t="shared" si="4"/>
        <v>1.0309278350515463</v>
      </c>
      <c r="AC40" s="1560">
        <f t="shared" si="5"/>
        <v>1.0309278350515463</v>
      </c>
    </row>
    <row r="41" spans="1:29" ht="20.25">
      <c r="A41" s="592"/>
      <c r="B41" s="525" t="s">
        <v>553</v>
      </c>
      <c r="C41" s="597" t="s">
        <v>3212</v>
      </c>
      <c r="D41" s="538">
        <v>100</v>
      </c>
      <c r="E41" s="597" t="s">
        <v>3212</v>
      </c>
      <c r="F41" s="538">
        <f>SUMIF(121:121,E41,122:122)-SUMIF(121:121,C41,122:122)+100</f>
        <v>100</v>
      </c>
      <c r="G41" s="597" t="s">
        <v>3212</v>
      </c>
      <c r="H41" s="538">
        <f>SUMIF(121:121,G41,122:122)-SUMIF(121:121,C41,122:122)+100</f>
        <v>100</v>
      </c>
      <c r="I41" s="597" t="s">
        <v>3212</v>
      </c>
      <c r="J41" s="538">
        <f>SUMIF(121:121,I41,122:122)-SUMIF(121:121,C41,122:122)+100</f>
        <v>100</v>
      </c>
      <c r="K41" s="582">
        <v>1</v>
      </c>
      <c r="L41" s="2125"/>
      <c r="M41" s="2115"/>
      <c r="N41" s="2115"/>
      <c r="O41" s="2124"/>
      <c r="P41" s="3414"/>
      <c r="Q41" s="1556" t="str">
        <f t="shared" ref="Q41:Q47" si="14">B41</f>
        <v>宗地形状</v>
      </c>
      <c r="R41" s="1557" t="s">
        <v>8</v>
      </c>
      <c r="S41" s="1558">
        <f t="shared" si="10"/>
        <v>100</v>
      </c>
      <c r="T41" s="1557" t="s">
        <v>8</v>
      </c>
      <c r="U41" s="1558">
        <f t="shared" si="11"/>
        <v>100</v>
      </c>
      <c r="V41" s="1557" t="s">
        <v>8</v>
      </c>
      <c r="W41" s="1558">
        <f t="shared" si="12"/>
        <v>100</v>
      </c>
      <c r="X41" s="1551"/>
      <c r="Y41" s="3414"/>
      <c r="Z41" s="1559" t="str">
        <f t="shared" si="13"/>
        <v>宗地形状</v>
      </c>
      <c r="AA41" s="1560">
        <f t="shared" si="3"/>
        <v>1</v>
      </c>
      <c r="AB41" s="1560">
        <f t="shared" si="4"/>
        <v>1</v>
      </c>
      <c r="AC41" s="1560">
        <f t="shared" si="5"/>
        <v>1</v>
      </c>
    </row>
    <row r="42" spans="1:29" ht="20.25">
      <c r="A42" s="592"/>
      <c r="B42" s="525" t="s">
        <v>554</v>
      </c>
      <c r="C42" s="597" t="s">
        <v>3213</v>
      </c>
      <c r="D42" s="538">
        <v>100</v>
      </c>
      <c r="E42" s="597" t="s">
        <v>3213</v>
      </c>
      <c r="F42" s="538">
        <f>SUMIF(123:123,E42,124:124)-SUMIF(123:123,C42,124:124)+100</f>
        <v>100</v>
      </c>
      <c r="G42" s="597" t="s">
        <v>3213</v>
      </c>
      <c r="H42" s="538">
        <f>SUMIF(123:123,G42,124:124)-SUMIF(123:123,C42,124:124)+100</f>
        <v>100</v>
      </c>
      <c r="I42" s="597" t="s">
        <v>3213</v>
      </c>
      <c r="J42" s="538">
        <f>SUMIF(123:123,I42,124:124)-SUMIF(123:123,C42,124:124)+100</f>
        <v>100</v>
      </c>
      <c r="K42" s="582">
        <v>1</v>
      </c>
      <c r="L42" s="2125"/>
      <c r="M42" s="2115"/>
      <c r="N42" s="2115"/>
      <c r="O42" s="2124"/>
      <c r="P42" s="3414"/>
      <c r="Q42" s="1556" t="str">
        <f t="shared" si="14"/>
        <v>临街宽度及深度</v>
      </c>
      <c r="R42" s="1557" t="s">
        <v>8</v>
      </c>
      <c r="S42" s="1558">
        <f t="shared" si="10"/>
        <v>100</v>
      </c>
      <c r="T42" s="1557" t="s">
        <v>8</v>
      </c>
      <c r="U42" s="1558">
        <f t="shared" si="11"/>
        <v>100</v>
      </c>
      <c r="V42" s="1557" t="s">
        <v>8</v>
      </c>
      <c r="W42" s="1558">
        <f t="shared" si="12"/>
        <v>100</v>
      </c>
      <c r="X42" s="1551"/>
      <c r="Y42" s="3414"/>
      <c r="Z42" s="1559" t="str">
        <f t="shared" si="13"/>
        <v>临街宽度及深度</v>
      </c>
      <c r="AA42" s="1560">
        <f t="shared" si="3"/>
        <v>1</v>
      </c>
      <c r="AB42" s="1560">
        <f t="shared" si="4"/>
        <v>1</v>
      </c>
      <c r="AC42" s="1560">
        <f t="shared" si="5"/>
        <v>1</v>
      </c>
    </row>
    <row r="43" spans="1:29" s="1213" customFormat="1" ht="20.25">
      <c r="A43" s="598"/>
      <c r="B43" s="1878" t="s">
        <v>2422</v>
      </c>
      <c r="C43" s="597" t="s">
        <v>3218</v>
      </c>
      <c r="D43" s="253">
        <v>100</v>
      </c>
      <c r="E43" s="597" t="s">
        <v>3218</v>
      </c>
      <c r="F43" s="538">
        <f>SUMIF(125:125,E43,126:126)-SUMIF(125:125,C43,126:126)+100</f>
        <v>100</v>
      </c>
      <c r="G43" s="597" t="s">
        <v>3218</v>
      </c>
      <c r="H43" s="538">
        <f>SUMIF(125:125,G43,126:126)-SUMIF(125:125,C43,126:126)+100</f>
        <v>100</v>
      </c>
      <c r="I43" s="597" t="s">
        <v>3218</v>
      </c>
      <c r="J43" s="538">
        <f>SUMIF(125:125,I43,126:126)-SUMIF(125:125,C43,126:126)+100</f>
        <v>100</v>
      </c>
      <c r="K43" s="582">
        <v>1</v>
      </c>
      <c r="L43" s="2118"/>
      <c r="M43" s="2115"/>
      <c r="N43" s="2115"/>
      <c r="O43" s="2120"/>
      <c r="P43" s="3414"/>
      <c r="Q43" s="1556" t="str">
        <f t="shared" si="14"/>
        <v>宗地开发程度</v>
      </c>
      <c r="R43" s="1552" t="s">
        <v>8</v>
      </c>
      <c r="S43" s="1553">
        <f t="shared" si="10"/>
        <v>100</v>
      </c>
      <c r="T43" s="1552" t="s">
        <v>8</v>
      </c>
      <c r="U43" s="1553">
        <f t="shared" si="11"/>
        <v>100</v>
      </c>
      <c r="V43" s="1552" t="s">
        <v>8</v>
      </c>
      <c r="W43" s="1553">
        <f t="shared" si="12"/>
        <v>100</v>
      </c>
      <c r="X43" s="1554"/>
      <c r="Y43" s="3414"/>
      <c r="Z43" s="1143" t="str">
        <f t="shared" si="13"/>
        <v>宗地开发程度</v>
      </c>
      <c r="AA43" s="1555">
        <f t="shared" si="3"/>
        <v>1</v>
      </c>
      <c r="AB43" s="1555">
        <f t="shared" si="4"/>
        <v>1</v>
      </c>
      <c r="AC43" s="1555">
        <f t="shared" si="5"/>
        <v>1</v>
      </c>
    </row>
    <row r="44" spans="1:29" ht="21" thickBot="1">
      <c r="A44" s="592"/>
      <c r="B44" s="525" t="s">
        <v>555</v>
      </c>
      <c r="C44" s="597" t="s">
        <v>3179</v>
      </c>
      <c r="D44" s="538">
        <v>100</v>
      </c>
      <c r="E44" s="597" t="s">
        <v>3179</v>
      </c>
      <c r="F44" s="538">
        <f>SUMIF(127:127,E44,128:128)-SUMIF(127:127,C44,128:128)+100</f>
        <v>100</v>
      </c>
      <c r="G44" s="597" t="s">
        <v>3179</v>
      </c>
      <c r="H44" s="538">
        <f>SUMIF(127:127,G44,128:128)-SUMIF(127:127,C44,128:128)+100</f>
        <v>100</v>
      </c>
      <c r="I44" s="597" t="s">
        <v>3179</v>
      </c>
      <c r="J44" s="538">
        <f>SUMIF(127:127,I44,128:128)-SUMIF(127:127,C44,128:128)+100</f>
        <v>100</v>
      </c>
      <c r="K44" s="582">
        <v>1</v>
      </c>
      <c r="L44" s="2125"/>
      <c r="M44" s="2115"/>
      <c r="N44" s="2115"/>
      <c r="O44" s="2124"/>
      <c r="P44" s="3414" t="s">
        <v>550</v>
      </c>
      <c r="Q44" s="1556" t="str">
        <f t="shared" si="14"/>
        <v>工程地质条件</v>
      </c>
      <c r="R44" s="1557" t="s">
        <v>8</v>
      </c>
      <c r="S44" s="1558">
        <f t="shared" si="10"/>
        <v>100</v>
      </c>
      <c r="T44" s="1557" t="s">
        <v>8</v>
      </c>
      <c r="U44" s="1558">
        <f t="shared" si="11"/>
        <v>100</v>
      </c>
      <c r="V44" s="1557" t="s">
        <v>8</v>
      </c>
      <c r="W44" s="1558">
        <f t="shared" si="12"/>
        <v>100</v>
      </c>
      <c r="X44" s="1551"/>
      <c r="Y44" s="3414" t="s">
        <v>550</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14"/>
      <c r="Q45" s="1556">
        <f t="shared" si="14"/>
        <v>111</v>
      </c>
      <c r="R45" s="1557" t="s">
        <v>8</v>
      </c>
      <c r="S45" s="1558">
        <f t="shared" si="10"/>
        <v>100</v>
      </c>
      <c r="T45" s="1557" t="s">
        <v>8</v>
      </c>
      <c r="U45" s="1558">
        <f t="shared" si="11"/>
        <v>100</v>
      </c>
      <c r="V45" s="1557" t="s">
        <v>8</v>
      </c>
      <c r="W45" s="1558">
        <f t="shared" si="12"/>
        <v>100</v>
      </c>
      <c r="X45" s="1551"/>
      <c r="Y45" s="3414"/>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14"/>
      <c r="Q46" s="1556">
        <f t="shared" si="14"/>
        <v>111</v>
      </c>
      <c r="R46" s="1557" t="s">
        <v>8</v>
      </c>
      <c r="S46" s="1558">
        <f t="shared" si="10"/>
        <v>100</v>
      </c>
      <c r="T46" s="1557" t="s">
        <v>8</v>
      </c>
      <c r="U46" s="1558">
        <f t="shared" si="11"/>
        <v>100</v>
      </c>
      <c r="V46" s="1557" t="s">
        <v>8</v>
      </c>
      <c r="W46" s="1558">
        <f t="shared" si="12"/>
        <v>100</v>
      </c>
      <c r="X46" s="1551"/>
      <c r="Y46" s="3414"/>
      <c r="Z46" s="1559">
        <f t="shared" si="13"/>
        <v>111</v>
      </c>
      <c r="AA46" s="1560">
        <f t="shared" si="3"/>
        <v>1</v>
      </c>
      <c r="AB46" s="1560">
        <f t="shared" si="4"/>
        <v>1</v>
      </c>
      <c r="AC46" s="1560">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14"/>
      <c r="Q47" s="1556">
        <f t="shared" si="14"/>
        <v>111</v>
      </c>
      <c r="R47" s="1561" t="s">
        <v>8</v>
      </c>
      <c r="S47" s="1562">
        <f t="shared" si="10"/>
        <v>100</v>
      </c>
      <c r="T47" s="1561" t="s">
        <v>8</v>
      </c>
      <c r="U47" s="1562">
        <f t="shared" si="11"/>
        <v>100</v>
      </c>
      <c r="V47" s="1561" t="s">
        <v>8</v>
      </c>
      <c r="W47" s="1562">
        <f t="shared" si="12"/>
        <v>100</v>
      </c>
      <c r="X47" s="1563"/>
      <c r="Y47" s="3414"/>
      <c r="Z47" s="1564">
        <f t="shared" si="13"/>
        <v>111</v>
      </c>
      <c r="AA47" s="1560">
        <f t="shared" si="3"/>
        <v>1</v>
      </c>
      <c r="AB47" s="1560">
        <f t="shared" si="4"/>
        <v>1</v>
      </c>
      <c r="AC47" s="1560">
        <f t="shared" si="5"/>
        <v>1</v>
      </c>
    </row>
    <row r="48" spans="1:29" ht="20.25">
      <c r="A48" s="605" t="s">
        <v>556</v>
      </c>
      <c r="B48" s="606" t="s">
        <v>3220</v>
      </c>
      <c r="C48" s="607" t="s">
        <v>1</v>
      </c>
      <c r="D48" s="608"/>
      <c r="E48" s="609">
        <v>1050</v>
      </c>
      <c r="F48" s="610"/>
      <c r="G48" s="611">
        <v>911</v>
      </c>
      <c r="H48" s="612"/>
      <c r="I48" s="609">
        <v>1126</v>
      </c>
      <c r="J48" s="612"/>
      <c r="K48" s="1333"/>
      <c r="L48" s="2127"/>
      <c r="M48" s="2115"/>
      <c r="N48" s="2115"/>
      <c r="O48" s="2128"/>
      <c r="P48" s="3375" t="str">
        <f>A48</f>
        <v>成交单价</v>
      </c>
      <c r="Q48" s="3375"/>
      <c r="R48" s="3376">
        <f>E48</f>
        <v>1050</v>
      </c>
      <c r="S48" s="3376"/>
      <c r="T48" s="3376">
        <f>G48</f>
        <v>911</v>
      </c>
      <c r="U48" s="3376"/>
      <c r="V48" s="3376">
        <f>I48</f>
        <v>1126</v>
      </c>
      <c r="W48" s="3376"/>
      <c r="X48" s="1543"/>
      <c r="Y48" s="1565"/>
      <c r="Z48" s="1543"/>
      <c r="AA48" s="1543"/>
      <c r="AB48" s="1543"/>
      <c r="AC48" s="1543"/>
    </row>
    <row r="49" spans="1:29" ht="21" thickBot="1">
      <c r="A49" s="613" t="s">
        <v>2691</v>
      </c>
      <c r="B49" s="614"/>
      <c r="C49" s="615">
        <f>R50</f>
        <v>1011</v>
      </c>
      <c r="D49" s="616"/>
      <c r="E49" s="615">
        <f>R49</f>
        <v>978</v>
      </c>
      <c r="F49" s="617"/>
      <c r="G49" s="618">
        <f>T49</f>
        <v>897</v>
      </c>
      <c r="H49" s="616"/>
      <c r="I49" s="615">
        <f>V49</f>
        <v>1158</v>
      </c>
      <c r="J49" s="616"/>
      <c r="K49" s="1334"/>
      <c r="L49" s="2127"/>
      <c r="M49" s="2115"/>
      <c r="N49" s="2115"/>
      <c r="O49" s="2128"/>
      <c r="P49" s="3375" t="str">
        <f>A49</f>
        <v>比较价格（元/平方米）</v>
      </c>
      <c r="Q49" s="3375"/>
      <c r="R49" s="3377">
        <f>ROUND(PRODUCT(R48,AA9:AA47),0)</f>
        <v>978</v>
      </c>
      <c r="S49" s="3377"/>
      <c r="T49" s="3377">
        <f>ROUND(PRODUCT(T48,AB9:AB47),0)</f>
        <v>897</v>
      </c>
      <c r="U49" s="3377"/>
      <c r="V49" s="3377">
        <f>ROUND(PRODUCT(V48,AC9:AC47),0)</f>
        <v>1158</v>
      </c>
      <c r="W49" s="3377"/>
      <c r="X49" s="1543"/>
      <c r="Y49" s="1543"/>
      <c r="Z49" s="1543"/>
      <c r="AA49" s="1543"/>
      <c r="AB49" s="1543"/>
      <c r="AC49" s="1543"/>
    </row>
    <row r="50" spans="1:29" ht="21" thickBot="1">
      <c r="A50" s="619" t="s">
        <v>2933</v>
      </c>
      <c r="B50" s="620"/>
      <c r="C50" s="621">
        <f>R50</f>
        <v>1011</v>
      </c>
      <c r="D50" s="621"/>
      <c r="E50" s="621"/>
      <c r="F50" s="621"/>
      <c r="G50" s="621"/>
      <c r="H50" s="621"/>
      <c r="I50" s="621"/>
      <c r="J50" s="621"/>
      <c r="K50" s="1335"/>
      <c r="L50" s="2127"/>
      <c r="M50" s="2115"/>
      <c r="N50" s="2115"/>
      <c r="O50" s="2128"/>
      <c r="P50" s="3372" t="str">
        <f>A50</f>
        <v>估价对象XX用房的比较价格（楼面单价，元/平方米）</v>
      </c>
      <c r="Q50" s="3373"/>
      <c r="R50" s="3374">
        <f>ROUND(AVERAGE(R49:V49),0)</f>
        <v>1011</v>
      </c>
      <c r="S50" s="3374"/>
      <c r="T50" s="3374"/>
      <c r="U50" s="3374"/>
      <c r="V50" s="3374"/>
      <c r="W50" s="3374"/>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7.361963190184051E-2</v>
      </c>
      <c r="F53" s="625" t="str">
        <f>IF(OR(E53&gt;=0.3,E53&lt;=-0.3),"超过30%","")</f>
        <v/>
      </c>
      <c r="G53" s="624">
        <f>IF(G48&lt;G49,G49/G48-1,G48/G49-1)</f>
        <v>1.5607580824972045E-2</v>
      </c>
      <c r="H53" s="625" t="str">
        <f>IF(OR(G53&gt;=0.3,G53&lt;=-0.3),"超过30%","")</f>
        <v/>
      </c>
      <c r="I53" s="624">
        <f>IF(I48&lt;I49,I49/I48-1,I48/I49-1)</f>
        <v>2.8419182948490329E-2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9.0301003344481545E-2</v>
      </c>
      <c r="F54" s="625" t="str">
        <f>IF(OR(E54&gt;=0.2,E54&lt;=-0.2),"超过20%","")</f>
        <v/>
      </c>
      <c r="G54" s="624">
        <f>IF(G49&lt;I49,I49/G49-1,G49/I49-1)</f>
        <v>0.29096989966555187</v>
      </c>
      <c r="H54" s="625" t="str">
        <f>IF(OR(G54&gt;=0.2,G54&lt;=-0.2),"超过20%","")</f>
        <v>超过20%</v>
      </c>
      <c r="I54" s="624">
        <f>IF(I49&lt;E49,E49/I49-1,I49/E49-1)</f>
        <v>0.18404907975460127</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f>IF(E48&lt;G48,G48/E48-1,E48/G48-1)</f>
        <v>0.15257958287596041</v>
      </c>
      <c r="F55" s="625" t="str">
        <f>IF(OR(E55&gt;=0.3,E55&lt;=-0.3),"超过30%","")</f>
        <v/>
      </c>
      <c r="G55" s="624">
        <f>IF(G48&lt;I48,I48/G48-1,G48/I48-1)</f>
        <v>0.23600439077936342</v>
      </c>
      <c r="H55" s="625" t="str">
        <f>IF(OR(G55&gt;=0.3,G55&lt;=-0.3),"超过30%","")</f>
        <v/>
      </c>
      <c r="I55" s="624">
        <f>IF(I48&lt;E48,E48/I48-1,I48/E48-1)</f>
        <v>7.2380952380952435E-2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1724</v>
      </c>
      <c r="D57" s="2210" t="s">
        <v>2292</v>
      </c>
      <c r="E57" s="629" t="s">
        <v>562</v>
      </c>
      <c r="F57" s="630" t="s">
        <v>563</v>
      </c>
      <c r="G57" s="3403" t="s">
        <v>2280</v>
      </c>
      <c r="H57" s="3404"/>
      <c r="I57" s="1539" t="s">
        <v>1722</v>
      </c>
      <c r="J57" s="1539" t="str">
        <f>项目基本情况!F41</f>
        <v>山东省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1" t="s">
        <v>564</v>
      </c>
      <c r="B58" s="632">
        <f>C50</f>
        <v>1011</v>
      </c>
      <c r="C58" s="633">
        <v>1</v>
      </c>
      <c r="D58" s="2211">
        <v>1</v>
      </c>
      <c r="E58" s="633">
        <f>'数据-汇总表'!E8+'数据-汇总表'!E9</f>
        <v>704420.41999999993</v>
      </c>
      <c r="F58" s="634">
        <f t="shared" ref="F58:F67" si="15">ROUND(B58*E58/10000,0)</f>
        <v>71217</v>
      </c>
      <c r="G58" s="3405"/>
      <c r="H58" s="3406"/>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565</v>
      </c>
      <c r="B59" s="636">
        <f>ROUND($C$50*C59*D59,0)</f>
        <v>0</v>
      </c>
      <c r="C59" s="376">
        <f t="shared" ref="C59:C67" si="16">IF($C$57="北京市系数",I59,J59)</f>
        <v>0</v>
      </c>
      <c r="D59" s="2212">
        <v>0.25</v>
      </c>
      <c r="E59" s="637">
        <v>0</v>
      </c>
      <c r="F59" s="634">
        <f t="shared" si="15"/>
        <v>0</v>
      </c>
      <c r="G59" s="3407"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566</v>
      </c>
      <c r="B60" s="636">
        <f t="shared" ref="B60:B67" si="17">ROUND($C$50*C60*D60,0)</f>
        <v>0</v>
      </c>
      <c r="C60" s="376">
        <f t="shared" si="16"/>
        <v>0</v>
      </c>
      <c r="D60" s="2212">
        <v>0.25</v>
      </c>
      <c r="E60" s="637">
        <v>0</v>
      </c>
      <c r="F60" s="634">
        <f t="shared" si="15"/>
        <v>0</v>
      </c>
      <c r="G60" s="3407"/>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567</v>
      </c>
      <c r="B61" s="636">
        <f t="shared" si="17"/>
        <v>0</v>
      </c>
      <c r="C61" s="376">
        <f t="shared" si="16"/>
        <v>0</v>
      </c>
      <c r="D61" s="2212">
        <v>0.25</v>
      </c>
      <c r="E61" s="637">
        <v>0</v>
      </c>
      <c r="F61" s="634">
        <f t="shared" si="15"/>
        <v>0</v>
      </c>
      <c r="G61" s="3407"/>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5" t="s">
        <v>568</v>
      </c>
      <c r="B62" s="636">
        <f t="shared" si="17"/>
        <v>0</v>
      </c>
      <c r="C62" s="376">
        <f t="shared" si="16"/>
        <v>0</v>
      </c>
      <c r="D62" s="2212">
        <v>0.25</v>
      </c>
      <c r="E62" s="637">
        <v>0</v>
      </c>
      <c r="F62" s="634">
        <f t="shared" si="15"/>
        <v>0</v>
      </c>
      <c r="G62" s="3407"/>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2326</v>
      </c>
      <c r="B63" s="636">
        <f t="shared" si="17"/>
        <v>0</v>
      </c>
      <c r="C63" s="376">
        <f t="shared" si="16"/>
        <v>0</v>
      </c>
      <c r="D63" s="2212">
        <v>0.25</v>
      </c>
      <c r="E63" s="639">
        <f>'数据-汇总表'!E11</f>
        <v>0</v>
      </c>
      <c r="F63" s="634">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5" t="s">
        <v>569</v>
      </c>
      <c r="B64" s="636">
        <f t="shared" si="17"/>
        <v>0</v>
      </c>
      <c r="C64" s="376">
        <f t="shared" si="16"/>
        <v>0</v>
      </c>
      <c r="D64" s="2212">
        <v>0.25</v>
      </c>
      <c r="E64" s="639">
        <f>'数据-汇总表'!E12</f>
        <v>0</v>
      </c>
      <c r="F64" s="634">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5" t="s">
        <v>570</v>
      </c>
      <c r="B65" s="636">
        <f t="shared" si="17"/>
        <v>0</v>
      </c>
      <c r="C65" s="376">
        <f t="shared" si="16"/>
        <v>0</v>
      </c>
      <c r="D65" s="2212">
        <v>0.25</v>
      </c>
      <c r="E65" s="639">
        <f>'数据-汇总表'!E13</f>
        <v>0</v>
      </c>
      <c r="F65" s="634">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5" t="s">
        <v>571</v>
      </c>
      <c r="B66" s="636">
        <f t="shared" si="17"/>
        <v>0</v>
      </c>
      <c r="C66" s="376">
        <f t="shared" si="16"/>
        <v>0</v>
      </c>
      <c r="D66" s="2212">
        <v>0.25</v>
      </c>
      <c r="E66" s="639">
        <f>'数据-汇总表'!E14</f>
        <v>0</v>
      </c>
      <c r="F66" s="634">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5" t="s">
        <v>572</v>
      </c>
      <c r="B67" s="636">
        <f t="shared" si="17"/>
        <v>0</v>
      </c>
      <c r="C67" s="376">
        <f t="shared" si="16"/>
        <v>0</v>
      </c>
      <c r="D67" s="2212">
        <v>0.25</v>
      </c>
      <c r="E67" s="639">
        <f>'数据-汇总表'!E15</f>
        <v>0</v>
      </c>
      <c r="F67" s="634">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0" t="s">
        <v>573</v>
      </c>
      <c r="B68" s="641" t="s">
        <v>17</v>
      </c>
      <c r="C68" s="641" t="s">
        <v>18</v>
      </c>
      <c r="D68" s="641" t="s">
        <v>2293</v>
      </c>
      <c r="E68" s="641">
        <f>IF(B48="楼面地价",SUM(E58:E67),'数据-汇总表'!D3)</f>
        <v>704420.41999999993</v>
      </c>
      <c r="F68" s="642">
        <f>IF(B48="楼面地价",SUM(F58:F67),ROUND(C50*E68/10000,0))</f>
        <v>71217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2530</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3" customFormat="1" ht="27" customHeight="1">
      <c r="A73" s="2759" t="s">
        <v>2645</v>
      </c>
      <c r="B73" s="477" t="str">
        <f>"北京市平均增长率"&amp;TEXT(SUMIF(基准地价!N21:N25,A73,基准地价!P21:P25),"0.00%")</f>
        <v>北京市平均增长率2.04%</v>
      </c>
      <c r="C73" s="891">
        <v>100</v>
      </c>
      <c r="D73" s="728">
        <v>99</v>
      </c>
      <c r="E73" s="728">
        <v>98</v>
      </c>
      <c r="F73" s="728">
        <v>97</v>
      </c>
      <c r="G73" s="728">
        <v>96</v>
      </c>
      <c r="H73" s="728">
        <v>95</v>
      </c>
      <c r="I73" s="728">
        <v>94</v>
      </c>
      <c r="J73" s="728">
        <v>93</v>
      </c>
      <c r="K73" s="728">
        <v>92</v>
      </c>
      <c r="L73" s="728">
        <v>91</v>
      </c>
      <c r="M73" s="2746"/>
      <c r="N73" s="2747"/>
      <c r="O73" s="2145"/>
      <c r="P73" s="2141"/>
      <c r="Q73" s="1976"/>
      <c r="R73" s="1976"/>
      <c r="S73" s="1976"/>
      <c r="T73" s="1976"/>
      <c r="U73" s="1976"/>
      <c r="V73" s="1976"/>
      <c r="W73" s="1976"/>
      <c r="X73" s="1976"/>
      <c r="Y73" s="1976"/>
      <c r="Z73" s="1976"/>
      <c r="AA73" s="1976"/>
      <c r="AB73" s="1976"/>
      <c r="AC73" s="1976"/>
    </row>
    <row r="74" spans="1:29" s="1213" customFormat="1" ht="15" customHeight="1" thickBot="1">
      <c r="A74" s="2750" t="s">
        <v>2644</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3" customFormat="1" ht="15">
      <c r="A75" s="657" t="s">
        <v>531</v>
      </c>
      <c r="B75" s="646"/>
      <c r="C75" s="658" t="s">
        <v>576</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c r="A77" s="662" t="s">
        <v>577</v>
      </c>
      <c r="B77" s="663" t="s">
        <v>534</v>
      </c>
      <c r="C77" s="3195" t="s">
        <v>3211</v>
      </c>
      <c r="D77" s="59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v>
      </c>
      <c r="K81" s="680" t="str">
        <f t="shared" si="20"/>
        <v>（含）-</v>
      </c>
      <c r="L81" s="680" t="str">
        <f t="shared" si="20"/>
        <v>（含）-</v>
      </c>
      <c r="M81" s="553"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c r="L82" s="683"/>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5"/>
      <c r="B84" s="671" t="str">
        <f>B14</f>
        <v>配建</v>
      </c>
      <c r="C84" s="686"/>
      <c r="D84" s="1369"/>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5"/>
      <c r="B86" s="671">
        <f>B15</f>
        <v>111</v>
      </c>
      <c r="C86" s="686"/>
      <c r="D86" s="686"/>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5"/>
      <c r="B87" s="676"/>
      <c r="C87" s="690"/>
      <c r="D87" s="690"/>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97</v>
      </c>
      <c r="E91" s="677">
        <f>D91-$K17</f>
        <v>94</v>
      </c>
      <c r="F91" s="677">
        <f>E91-$K17</f>
        <v>91</v>
      </c>
      <c r="G91" s="677">
        <f>F91-$K17</f>
        <v>88</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98</v>
      </c>
      <c r="E93" s="677">
        <f>D93-$K19</f>
        <v>96</v>
      </c>
      <c r="F93" s="677">
        <f>E93-$K19</f>
        <v>94</v>
      </c>
      <c r="G93" s="677">
        <f>F93-$K19</f>
        <v>92</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5"/>
      <c r="B102" s="1879" t="s">
        <v>2546</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5"/>
      <c r="B104" s="2559" t="s">
        <v>2548</v>
      </c>
      <c r="C104" s="2560" t="s">
        <v>2549</v>
      </c>
      <c r="D104" s="2560" t="s">
        <v>2550</v>
      </c>
      <c r="E104" s="2560" t="s">
        <v>2551</v>
      </c>
      <c r="F104" s="2560" t="s">
        <v>2552</v>
      </c>
      <c r="G104" s="2560" t="s">
        <v>2553</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686"/>
      <c r="D108" s="686"/>
      <c r="E108" s="686"/>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300000(含)-350000</v>
      </c>
      <c r="J118" s="3042" t="str">
        <f t="shared" si="25"/>
        <v>350000(含)-</v>
      </c>
      <c r="K118" s="3042" t="str">
        <f t="shared" si="25"/>
        <v>(含)-</v>
      </c>
      <c r="L118" s="3043" t="str">
        <f t="shared" si="25"/>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50000</v>
      </c>
      <c r="E119" s="728">
        <v>100000</v>
      </c>
      <c r="F119" s="728">
        <v>150000</v>
      </c>
      <c r="G119" s="728">
        <v>200000</v>
      </c>
      <c r="H119" s="728">
        <v>250000</v>
      </c>
      <c r="I119" s="728">
        <v>300000</v>
      </c>
      <c r="J119" s="2329">
        <v>350000</v>
      </c>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v>100.5</v>
      </c>
      <c r="E120" s="724">
        <v>101</v>
      </c>
      <c r="F120" s="724">
        <v>101.5</v>
      </c>
      <c r="G120" s="724">
        <v>102</v>
      </c>
      <c r="H120" s="724">
        <v>102.5</v>
      </c>
      <c r="I120" s="724">
        <v>103</v>
      </c>
      <c r="J120" s="724">
        <v>103.5</v>
      </c>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197" t="s">
        <v>3212</v>
      </c>
      <c r="D121" s="716"/>
      <c r="E121" s="716"/>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3198" t="s">
        <v>3213</v>
      </c>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6"/>
      <c r="B125" s="1879" t="s">
        <v>2423</v>
      </c>
      <c r="C125" s="1369" t="s">
        <v>3214</v>
      </c>
      <c r="D125" s="1369" t="s">
        <v>3215</v>
      </c>
      <c r="E125" s="1369" t="s">
        <v>3216</v>
      </c>
      <c r="F125" s="1369" t="s">
        <v>3217</v>
      </c>
      <c r="G125" s="1369" t="s">
        <v>3218</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198" t="s">
        <v>3179</v>
      </c>
      <c r="D127" s="686"/>
      <c r="E127" s="716"/>
      <c r="F127" s="716"/>
      <c r="G127" s="716"/>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topLeftCell="A7" workbookViewId="0">
      <selection activeCell="A22" sqref="A22"/>
    </sheetView>
  </sheetViews>
  <sheetFormatPr defaultRowHeight="13.5"/>
  <cols>
    <col min="1" max="1" width="68.75" customWidth="1"/>
    <col min="4" max="4" width="13.625" customWidth="1"/>
    <col min="5" max="5" width="13.5" customWidth="1"/>
    <col min="6" max="6" width="15" customWidth="1"/>
    <col min="13" max="13" width="30.875" customWidth="1"/>
    <col min="15" max="15" width="9" style="3199"/>
  </cols>
  <sheetData>
    <row r="1" spans="1:15">
      <c r="A1" s="3189" t="s">
        <v>3018</v>
      </c>
      <c r="B1" s="3189" t="s">
        <v>3019</v>
      </c>
      <c r="C1" s="3189" t="s">
        <v>3020</v>
      </c>
      <c r="D1" s="3189" t="s">
        <v>3021</v>
      </c>
      <c r="E1" s="3189" t="s">
        <v>3022</v>
      </c>
      <c r="F1" s="3189" t="s">
        <v>2031</v>
      </c>
      <c r="G1" s="3189" t="s">
        <v>3023</v>
      </c>
      <c r="H1" s="3189" t="s">
        <v>3024</v>
      </c>
      <c r="I1" s="3189" t="s">
        <v>3025</v>
      </c>
      <c r="J1" s="3189" t="s">
        <v>3026</v>
      </c>
      <c r="K1" s="3189" t="s">
        <v>3027</v>
      </c>
      <c r="L1" s="3189" t="s">
        <v>3028</v>
      </c>
      <c r="M1" s="3189" t="s">
        <v>3029</v>
      </c>
      <c r="N1" s="3189" t="s">
        <v>3030</v>
      </c>
    </row>
    <row r="2" spans="1:15">
      <c r="A2" s="3189" t="s">
        <v>3031</v>
      </c>
      <c r="B2" s="3189" t="s">
        <v>3032</v>
      </c>
      <c r="C2" s="3189" t="s">
        <v>3033</v>
      </c>
      <c r="D2" s="3189">
        <v>2835</v>
      </c>
      <c r="E2" s="3189">
        <v>3402</v>
      </c>
      <c r="F2" s="3189" t="s">
        <v>3034</v>
      </c>
      <c r="G2" s="3189" t="s">
        <v>3035</v>
      </c>
      <c r="H2" s="3189" t="s">
        <v>3036</v>
      </c>
      <c r="I2" s="3189">
        <v>595.35</v>
      </c>
      <c r="J2" s="3189">
        <v>595.35</v>
      </c>
      <c r="K2" s="3189">
        <v>1750</v>
      </c>
      <c r="L2" s="3189">
        <v>0</v>
      </c>
      <c r="M2" s="3189" t="s">
        <v>3037</v>
      </c>
      <c r="N2" s="3189" t="s">
        <v>3038</v>
      </c>
      <c r="O2" s="3199">
        <f>J2/(D2/666.67)</f>
        <v>140.00069999999999</v>
      </c>
    </row>
    <row r="3" spans="1:15">
      <c r="A3" s="3189" t="s">
        <v>3031</v>
      </c>
      <c r="B3" s="3189" t="s">
        <v>3032</v>
      </c>
      <c r="C3" s="3189" t="s">
        <v>3033</v>
      </c>
      <c r="D3" s="3189">
        <v>1742</v>
      </c>
      <c r="E3" s="3189">
        <v>2090.4</v>
      </c>
      <c r="F3" s="3189" t="s">
        <v>3034</v>
      </c>
      <c r="G3" s="3189" t="s">
        <v>3035</v>
      </c>
      <c r="H3" s="3189" t="s">
        <v>3036</v>
      </c>
      <c r="I3" s="3189">
        <v>365.81</v>
      </c>
      <c r="J3" s="3189">
        <v>365.81</v>
      </c>
      <c r="K3" s="3189">
        <v>1750</v>
      </c>
      <c r="L3" s="3189">
        <v>0</v>
      </c>
      <c r="M3" s="3189" t="s">
        <v>3037</v>
      </c>
      <c r="N3" s="3189" t="s">
        <v>3038</v>
      </c>
      <c r="O3" s="3199">
        <f t="shared" ref="O3:O51" si="0">J3/(D3/666.67)</f>
        <v>139.99687296211249</v>
      </c>
    </row>
    <row r="4" spans="1:15" s="3201" customFormat="1">
      <c r="A4" s="3192" t="s">
        <v>3227</v>
      </c>
      <c r="B4" s="3192" t="s">
        <v>3032</v>
      </c>
      <c r="C4" s="3192" t="s">
        <v>3033</v>
      </c>
      <c r="D4" s="3192">
        <v>55001</v>
      </c>
      <c r="E4" s="3192">
        <v>110002</v>
      </c>
      <c r="F4" s="3192" t="s">
        <v>3039</v>
      </c>
      <c r="G4" s="3192" t="s">
        <v>3035</v>
      </c>
      <c r="H4" s="3192" t="s">
        <v>3040</v>
      </c>
      <c r="I4" s="3192">
        <v>17325.310000000001</v>
      </c>
      <c r="J4" s="3192">
        <v>24915.31</v>
      </c>
      <c r="K4" s="3192">
        <v>2264.98</v>
      </c>
      <c r="L4" s="3192">
        <v>43.81</v>
      </c>
      <c r="M4" s="3192" t="s">
        <v>3041</v>
      </c>
      <c r="N4" s="3192" t="s">
        <v>3038</v>
      </c>
      <c r="O4" s="3200">
        <f t="shared" si="0"/>
        <v>301.99977668951476</v>
      </c>
    </row>
    <row r="5" spans="1:15">
      <c r="A5" s="3189" t="s">
        <v>3042</v>
      </c>
      <c r="B5" s="3189" t="s">
        <v>3032</v>
      </c>
      <c r="C5" s="3189" t="s">
        <v>3033</v>
      </c>
      <c r="D5" s="3189">
        <v>26966</v>
      </c>
      <c r="E5" s="3189">
        <v>48538.8</v>
      </c>
      <c r="F5" s="3189" t="s">
        <v>3043</v>
      </c>
      <c r="G5" s="3189" t="s">
        <v>3035</v>
      </c>
      <c r="H5" s="3189" t="s">
        <v>3040</v>
      </c>
      <c r="I5" s="3189">
        <v>6471.84</v>
      </c>
      <c r="J5" s="3189">
        <v>6471.84</v>
      </c>
      <c r="K5" s="3189">
        <v>1333.32</v>
      </c>
      <c r="L5" s="3189">
        <v>0</v>
      </c>
      <c r="M5" s="3189" t="s">
        <v>3044</v>
      </c>
      <c r="N5" s="3189" t="s">
        <v>3038</v>
      </c>
      <c r="O5" s="3199">
        <f t="shared" si="0"/>
        <v>160.0008</v>
      </c>
    </row>
    <row r="6" spans="1:15" s="3201" customFormat="1">
      <c r="A6" s="3192" t="s">
        <v>3042</v>
      </c>
      <c r="B6" s="3192" t="s">
        <v>3032</v>
      </c>
      <c r="C6" s="3192" t="s">
        <v>3033</v>
      </c>
      <c r="D6" s="3192">
        <v>50095</v>
      </c>
      <c r="E6" s="3192">
        <v>90171</v>
      </c>
      <c r="F6" s="3192" t="s">
        <v>3043</v>
      </c>
      <c r="G6" s="3192" t="s">
        <v>3035</v>
      </c>
      <c r="H6" s="3192" t="s">
        <v>3040</v>
      </c>
      <c r="I6" s="3192">
        <v>12022.79</v>
      </c>
      <c r="J6" s="3192">
        <v>12022.79</v>
      </c>
      <c r="K6" s="3192">
        <v>1333.32</v>
      </c>
      <c r="L6" s="3192">
        <v>0</v>
      </c>
      <c r="M6" s="3192" t="s">
        <v>3044</v>
      </c>
      <c r="N6" s="3192" t="s">
        <v>3038</v>
      </c>
      <c r="O6" s="3200">
        <f t="shared" si="0"/>
        <v>160.00066691885419</v>
      </c>
    </row>
    <row r="7" spans="1:15">
      <c r="A7" s="3189" t="s">
        <v>3045</v>
      </c>
      <c r="B7" s="3189" t="s">
        <v>3032</v>
      </c>
      <c r="C7" s="3189" t="s">
        <v>3033</v>
      </c>
      <c r="D7" s="3189">
        <v>3761</v>
      </c>
      <c r="E7" s="3189">
        <v>6769.8</v>
      </c>
      <c r="F7" s="3189" t="s">
        <v>3043</v>
      </c>
      <c r="G7" s="3189" t="s">
        <v>3035</v>
      </c>
      <c r="H7" s="3189" t="s">
        <v>3046</v>
      </c>
      <c r="I7" s="3189">
        <v>564.14</v>
      </c>
      <c r="J7" s="3189">
        <v>564.14</v>
      </c>
      <c r="K7" s="3189">
        <v>833.33</v>
      </c>
      <c r="L7" s="3189">
        <v>0</v>
      </c>
      <c r="M7" s="3189" t="s">
        <v>3047</v>
      </c>
      <c r="N7" s="3189" t="s">
        <v>3038</v>
      </c>
      <c r="O7" s="3199">
        <f t="shared" si="0"/>
        <v>99.998727412922079</v>
      </c>
    </row>
    <row r="8" spans="1:15">
      <c r="A8" s="3189" t="s">
        <v>3048</v>
      </c>
      <c r="B8" s="3189" t="s">
        <v>3032</v>
      </c>
      <c r="C8" s="3189" t="s">
        <v>3033</v>
      </c>
      <c r="D8" s="3189">
        <v>35605</v>
      </c>
      <c r="E8" s="3189">
        <v>64089</v>
      </c>
      <c r="F8" s="3189" t="s">
        <v>3043</v>
      </c>
      <c r="G8" s="3189" t="s">
        <v>3035</v>
      </c>
      <c r="H8" s="3189" t="s">
        <v>3046</v>
      </c>
      <c r="I8" s="3189">
        <v>5340.75</v>
      </c>
      <c r="J8" s="3189">
        <v>5340.75</v>
      </c>
      <c r="K8" s="3189">
        <v>833.33</v>
      </c>
      <c r="L8" s="3189">
        <v>0</v>
      </c>
      <c r="M8" s="3189" t="s">
        <v>3049</v>
      </c>
      <c r="N8" s="3189" t="s">
        <v>3038</v>
      </c>
      <c r="O8" s="3199">
        <f t="shared" si="0"/>
        <v>100.00049999999999</v>
      </c>
    </row>
    <row r="9" spans="1:15">
      <c r="A9" s="3189" t="s">
        <v>3050</v>
      </c>
      <c r="B9" s="3189" t="s">
        <v>3032</v>
      </c>
      <c r="C9" s="3189" t="s">
        <v>3033</v>
      </c>
      <c r="D9" s="3189">
        <v>25651</v>
      </c>
      <c r="E9" s="3189">
        <v>51302</v>
      </c>
      <c r="F9" s="3189" t="s">
        <v>3039</v>
      </c>
      <c r="G9" s="3189" t="s">
        <v>3035</v>
      </c>
      <c r="H9" s="3189" t="s">
        <v>3051</v>
      </c>
      <c r="I9" s="3189">
        <v>3078.11</v>
      </c>
      <c r="J9" s="3189">
        <v>3078.11</v>
      </c>
      <c r="K9" s="3189">
        <v>600</v>
      </c>
      <c r="L9" s="3189">
        <v>0</v>
      </c>
      <c r="M9" s="3189" t="s">
        <v>3052</v>
      </c>
      <c r="N9" s="3189" t="s">
        <v>3038</v>
      </c>
      <c r="O9" s="3199">
        <f t="shared" si="0"/>
        <v>80.000140099801172</v>
      </c>
    </row>
    <row r="10" spans="1:15" s="3201" customFormat="1">
      <c r="A10" s="3202" t="s">
        <v>3053</v>
      </c>
      <c r="B10" s="3192" t="s">
        <v>3032</v>
      </c>
      <c r="C10" s="3192" t="s">
        <v>3033</v>
      </c>
      <c r="D10" s="3192">
        <v>51313</v>
      </c>
      <c r="E10" s="3192">
        <v>92363.4</v>
      </c>
      <c r="F10" s="3192" t="s">
        <v>3043</v>
      </c>
      <c r="G10" s="3192" t="s">
        <v>3035</v>
      </c>
      <c r="H10" s="3192" t="s">
        <v>3054</v>
      </c>
      <c r="I10" s="3192">
        <v>18087.830000000002</v>
      </c>
      <c r="J10" s="3192">
        <v>18126.310000000001</v>
      </c>
      <c r="K10" s="3192">
        <v>1962.5</v>
      </c>
      <c r="L10" s="3192">
        <v>0.21</v>
      </c>
      <c r="M10" s="3192" t="s">
        <v>3055</v>
      </c>
      <c r="N10" s="3192" t="s">
        <v>3038</v>
      </c>
      <c r="O10" s="3200">
        <f t="shared" si="0"/>
        <v>235.50108330637462</v>
      </c>
    </row>
    <row r="11" spans="1:15">
      <c r="A11" s="3189" t="s">
        <v>3045</v>
      </c>
      <c r="B11" s="3189" t="s">
        <v>3032</v>
      </c>
      <c r="C11" s="3189" t="s">
        <v>3033</v>
      </c>
      <c r="D11" s="3189">
        <v>8189</v>
      </c>
      <c r="E11" s="3189">
        <v>14740.2</v>
      </c>
      <c r="F11" s="3189" t="s">
        <v>3043</v>
      </c>
      <c r="G11" s="3189" t="s">
        <v>3035</v>
      </c>
      <c r="H11" s="3189" t="s">
        <v>3056</v>
      </c>
      <c r="I11" s="3189">
        <v>1228.3399999999999</v>
      </c>
      <c r="J11" s="3189">
        <v>1228.3399999999999</v>
      </c>
      <c r="K11" s="3189">
        <v>833.33</v>
      </c>
      <c r="L11" s="3189">
        <v>0</v>
      </c>
      <c r="M11" s="3189" t="s">
        <v>3047</v>
      </c>
      <c r="N11" s="3189" t="s">
        <v>3038</v>
      </c>
      <c r="O11" s="3199">
        <f t="shared" si="0"/>
        <v>99.999685895713753</v>
      </c>
    </row>
    <row r="12" spans="1:15" s="3201" customFormat="1">
      <c r="A12" s="3202" t="s">
        <v>3057</v>
      </c>
      <c r="B12" s="3192" t="s">
        <v>3032</v>
      </c>
      <c r="C12" s="3192" t="s">
        <v>3033</v>
      </c>
      <c r="D12" s="3192">
        <v>26047</v>
      </c>
      <c r="E12" s="3192">
        <v>44279.9</v>
      </c>
      <c r="F12" s="3192" t="s">
        <v>3058</v>
      </c>
      <c r="G12" s="3192" t="s">
        <v>3035</v>
      </c>
      <c r="H12" s="3192" t="s">
        <v>3056</v>
      </c>
      <c r="I12" s="3192">
        <v>7814.1</v>
      </c>
      <c r="J12" s="3192">
        <v>7814.1</v>
      </c>
      <c r="K12" s="3192">
        <v>1764.71</v>
      </c>
      <c r="L12" s="3192">
        <v>0</v>
      </c>
      <c r="M12" s="3192" t="s">
        <v>3059</v>
      </c>
      <c r="N12" s="3192" t="s">
        <v>3038</v>
      </c>
      <c r="O12" s="3200">
        <f t="shared" si="0"/>
        <v>200.001</v>
      </c>
    </row>
    <row r="13" spans="1:15">
      <c r="A13" s="3189" t="s">
        <v>3045</v>
      </c>
      <c r="B13" s="3189" t="s">
        <v>3032</v>
      </c>
      <c r="C13" s="3189" t="s">
        <v>3033</v>
      </c>
      <c r="D13" s="3189">
        <v>5814</v>
      </c>
      <c r="E13" s="3189">
        <v>10465.200000000001</v>
      </c>
      <c r="F13" s="3189" t="s">
        <v>3043</v>
      </c>
      <c r="G13" s="3189" t="s">
        <v>3035</v>
      </c>
      <c r="H13" s="3189" t="s">
        <v>3056</v>
      </c>
      <c r="I13" s="3189">
        <v>872.1</v>
      </c>
      <c r="J13" s="3189">
        <v>872.1</v>
      </c>
      <c r="K13" s="3189">
        <v>833.33</v>
      </c>
      <c r="L13" s="3189">
        <v>0</v>
      </c>
      <c r="M13" s="3189" t="s">
        <v>3047</v>
      </c>
      <c r="N13" s="3189" t="s">
        <v>3038</v>
      </c>
      <c r="O13" s="3199">
        <f t="shared" si="0"/>
        <v>100.00049999999999</v>
      </c>
    </row>
    <row r="14" spans="1:15">
      <c r="A14" s="3189" t="s">
        <v>3048</v>
      </c>
      <c r="B14" s="3189" t="s">
        <v>3032</v>
      </c>
      <c r="C14" s="3189" t="s">
        <v>3033</v>
      </c>
      <c r="D14" s="3189">
        <v>22704</v>
      </c>
      <c r="E14" s="3189">
        <v>40867.199999999997</v>
      </c>
      <c r="F14" s="3189" t="s">
        <v>3043</v>
      </c>
      <c r="G14" s="3189" t="s">
        <v>3035</v>
      </c>
      <c r="H14" s="3189" t="s">
        <v>3060</v>
      </c>
      <c r="I14" s="3189">
        <v>3405.59</v>
      </c>
      <c r="J14" s="3189">
        <v>3405.59</v>
      </c>
      <c r="K14" s="3189">
        <v>833.33</v>
      </c>
      <c r="L14" s="3189">
        <v>0</v>
      </c>
      <c r="M14" s="3189" t="s">
        <v>3049</v>
      </c>
      <c r="N14" s="3189" t="s">
        <v>3038</v>
      </c>
      <c r="O14" s="3199">
        <f t="shared" si="0"/>
        <v>100.00020636451725</v>
      </c>
    </row>
    <row r="15" spans="1:15" s="3201" customFormat="1">
      <c r="A15" s="3192" t="s">
        <v>3061</v>
      </c>
      <c r="B15" s="3192" t="s">
        <v>3032</v>
      </c>
      <c r="C15" s="3192" t="s">
        <v>3033</v>
      </c>
      <c r="D15" s="3192">
        <v>68104</v>
      </c>
      <c r="E15" s="3192">
        <v>95345.600000000006</v>
      </c>
      <c r="F15" s="3192" t="s">
        <v>3062</v>
      </c>
      <c r="G15" s="3192" t="s">
        <v>3035</v>
      </c>
      <c r="H15" s="3192" t="s">
        <v>3060</v>
      </c>
      <c r="I15" s="3192">
        <v>8172.47</v>
      </c>
      <c r="J15" s="3192">
        <v>8172.47</v>
      </c>
      <c r="K15" s="3192">
        <v>857.13</v>
      </c>
      <c r="L15" s="3192">
        <v>0</v>
      </c>
      <c r="M15" s="3192" t="s">
        <v>3063</v>
      </c>
      <c r="N15" s="3192" t="s">
        <v>3038</v>
      </c>
      <c r="O15" s="3200">
        <f t="shared" si="0"/>
        <v>80.000302110008221</v>
      </c>
    </row>
    <row r="16" spans="1:15">
      <c r="A16" s="3189" t="s">
        <v>3061</v>
      </c>
      <c r="B16" s="3189" t="s">
        <v>3032</v>
      </c>
      <c r="C16" s="3189" t="s">
        <v>3033</v>
      </c>
      <c r="D16" s="3189">
        <v>67458</v>
      </c>
      <c r="E16" s="3189">
        <v>94441.2</v>
      </c>
      <c r="F16" s="3189" t="s">
        <v>3062</v>
      </c>
      <c r="G16" s="3189" t="s">
        <v>3035</v>
      </c>
      <c r="H16" s="3189" t="s">
        <v>3060</v>
      </c>
      <c r="I16" s="3189">
        <v>8094.96</v>
      </c>
      <c r="J16" s="3189">
        <v>8094.96</v>
      </c>
      <c r="K16" s="3189">
        <v>857.13</v>
      </c>
      <c r="L16" s="3189">
        <v>0</v>
      </c>
      <c r="M16" s="3189" t="s">
        <v>3063</v>
      </c>
      <c r="N16" s="3189" t="s">
        <v>3038</v>
      </c>
      <c r="O16" s="3199">
        <f t="shared" si="0"/>
        <v>80.000399999999999</v>
      </c>
    </row>
    <row r="17" spans="1:15">
      <c r="A17" s="3191" t="s">
        <v>3064</v>
      </c>
      <c r="B17" s="3191" t="s">
        <v>3032</v>
      </c>
      <c r="C17" s="3191" t="s">
        <v>3033</v>
      </c>
      <c r="D17" s="3191">
        <v>3149</v>
      </c>
      <c r="E17" s="3191">
        <v>5668.2</v>
      </c>
      <c r="F17" s="3191" t="s">
        <v>3043</v>
      </c>
      <c r="G17" s="3191" t="s">
        <v>3035</v>
      </c>
      <c r="H17" s="3191" t="s">
        <v>3065</v>
      </c>
      <c r="I17" s="3191">
        <v>1388.71</v>
      </c>
      <c r="J17" s="3191">
        <v>1388.71</v>
      </c>
      <c r="K17" s="3191">
        <v>2450</v>
      </c>
      <c r="L17" s="3191">
        <v>0</v>
      </c>
      <c r="M17" s="3191" t="s">
        <v>3066</v>
      </c>
      <c r="N17" s="3189" t="s">
        <v>3038</v>
      </c>
      <c r="O17" s="3199">
        <f t="shared" si="0"/>
        <v>294.00168170847888</v>
      </c>
    </row>
    <row r="18" spans="1:15">
      <c r="A18" s="3192" t="s">
        <v>3067</v>
      </c>
      <c r="B18" s="3192" t="s">
        <v>3032</v>
      </c>
      <c r="C18" s="3192" t="s">
        <v>3033</v>
      </c>
      <c r="D18" s="3192">
        <v>59521</v>
      </c>
      <c r="E18" s="3192">
        <v>130946.2</v>
      </c>
      <c r="F18" s="3192" t="s">
        <v>3068</v>
      </c>
      <c r="G18" s="3192" t="s">
        <v>3035</v>
      </c>
      <c r="H18" s="3192" t="s">
        <v>3065</v>
      </c>
      <c r="I18" s="3192">
        <v>24106</v>
      </c>
      <c r="J18" s="3192">
        <v>29017.5</v>
      </c>
      <c r="K18" s="3192">
        <v>2215.98</v>
      </c>
      <c r="L18" s="3192">
        <v>20.37</v>
      </c>
      <c r="M18" s="3192" t="s">
        <v>3055</v>
      </c>
      <c r="N18" s="3189" t="s">
        <v>3038</v>
      </c>
      <c r="O18" s="3199">
        <f t="shared" si="0"/>
        <v>325.01296559197596</v>
      </c>
    </row>
    <row r="19" spans="1:15">
      <c r="A19" s="3189" t="s">
        <v>3069</v>
      </c>
      <c r="B19" s="3189" t="s">
        <v>3032</v>
      </c>
      <c r="C19" s="3189" t="s">
        <v>3033</v>
      </c>
      <c r="D19" s="3189">
        <v>16276</v>
      </c>
      <c r="E19" s="3189">
        <v>24414</v>
      </c>
      <c r="F19" s="3189" t="s">
        <v>3070</v>
      </c>
      <c r="G19" s="3189" t="s">
        <v>3035</v>
      </c>
      <c r="H19" s="3189" t="s">
        <v>3065</v>
      </c>
      <c r="I19" s="3189">
        <v>976.55</v>
      </c>
      <c r="J19" s="3189">
        <v>976.55</v>
      </c>
      <c r="K19" s="3189">
        <v>400</v>
      </c>
      <c r="L19" s="3189">
        <v>0</v>
      </c>
      <c r="M19" s="3189" t="s">
        <v>3071</v>
      </c>
      <c r="N19" s="3189" t="s">
        <v>3038</v>
      </c>
      <c r="O19" s="3199">
        <f t="shared" si="0"/>
        <v>39.999790396903414</v>
      </c>
    </row>
    <row r="20" spans="1:15">
      <c r="A20" s="3189" t="s">
        <v>3067</v>
      </c>
      <c r="B20" s="3189" t="s">
        <v>3032</v>
      </c>
      <c r="C20" s="3189" t="s">
        <v>3033</v>
      </c>
      <c r="D20" s="3189">
        <v>51408</v>
      </c>
      <c r="E20" s="3189">
        <v>113097.60000000001</v>
      </c>
      <c r="F20" s="3189" t="s">
        <v>3068</v>
      </c>
      <c r="G20" s="3189" t="s">
        <v>3035</v>
      </c>
      <c r="H20" s="3189" t="s">
        <v>3065</v>
      </c>
      <c r="I20" s="3189">
        <v>20820.240000000002</v>
      </c>
      <c r="J20" s="3189">
        <v>25524.560000000001</v>
      </c>
      <c r="K20" s="3189">
        <v>2256.86</v>
      </c>
      <c r="L20" s="3189">
        <v>22.59</v>
      </c>
      <c r="M20" s="3189" t="s">
        <v>3055</v>
      </c>
      <c r="N20" s="3189" t="s">
        <v>3038</v>
      </c>
      <c r="O20" s="3199">
        <f t="shared" si="0"/>
        <v>331.00798348895114</v>
      </c>
    </row>
    <row r="21" spans="1:15">
      <c r="A21" s="3189" t="s">
        <v>3072</v>
      </c>
      <c r="B21" s="3189" t="s">
        <v>3032</v>
      </c>
      <c r="C21" s="3189" t="s">
        <v>3033</v>
      </c>
      <c r="D21" s="3189">
        <v>2823</v>
      </c>
      <c r="E21" s="3189">
        <v>3105.3</v>
      </c>
      <c r="F21" s="3189" t="s">
        <v>3073</v>
      </c>
      <c r="G21" s="3189" t="s">
        <v>3035</v>
      </c>
      <c r="H21" s="3189" t="s">
        <v>3065</v>
      </c>
      <c r="I21" s="3189">
        <v>1642.99</v>
      </c>
      <c r="J21" s="3189">
        <v>1642.99</v>
      </c>
      <c r="K21" s="3189">
        <v>5290.92</v>
      </c>
      <c r="L21" s="3189">
        <v>0</v>
      </c>
      <c r="M21" s="3189" t="s">
        <v>3074</v>
      </c>
      <c r="N21" s="3189" t="s">
        <v>3038</v>
      </c>
      <c r="O21" s="3199">
        <f t="shared" si="0"/>
        <v>388.00288462628407</v>
      </c>
    </row>
    <row r="22" spans="1:15">
      <c r="A22" s="3189" t="s">
        <v>3064</v>
      </c>
      <c r="B22" s="3189" t="s">
        <v>3032</v>
      </c>
      <c r="C22" s="3189" t="s">
        <v>3033</v>
      </c>
      <c r="D22" s="3189">
        <v>1231</v>
      </c>
      <c r="E22" s="3189">
        <v>2215.8000000000002</v>
      </c>
      <c r="F22" s="3189" t="s">
        <v>3043</v>
      </c>
      <c r="G22" s="3189" t="s">
        <v>3035</v>
      </c>
      <c r="H22" s="3189" t="s">
        <v>3065</v>
      </c>
      <c r="I22" s="3189">
        <v>542.87</v>
      </c>
      <c r="J22" s="3189">
        <v>542.87</v>
      </c>
      <c r="K22" s="3189">
        <v>2450.0300000000002</v>
      </c>
      <c r="L22" s="3189">
        <v>0</v>
      </c>
      <c r="M22" s="3189" t="s">
        <v>3066</v>
      </c>
      <c r="N22" s="3189" t="s">
        <v>3038</v>
      </c>
      <c r="O22" s="3199">
        <f t="shared" si="0"/>
        <v>294.00092843216896</v>
      </c>
    </row>
    <row r="23" spans="1:15">
      <c r="A23" s="3189" t="s">
        <v>3064</v>
      </c>
      <c r="B23" s="3189" t="s">
        <v>3032</v>
      </c>
      <c r="C23" s="3189" t="s">
        <v>3033</v>
      </c>
      <c r="D23" s="3189">
        <v>757</v>
      </c>
      <c r="E23" s="3189">
        <v>1362.6</v>
      </c>
      <c r="F23" s="3189" t="s">
        <v>3043</v>
      </c>
      <c r="G23" s="3189" t="s">
        <v>3035</v>
      </c>
      <c r="H23" s="3189" t="s">
        <v>3065</v>
      </c>
      <c r="I23" s="3189" t="s">
        <v>2816</v>
      </c>
      <c r="J23" s="3189">
        <v>333.83</v>
      </c>
      <c r="K23" s="3189">
        <v>2450.0100000000002</v>
      </c>
      <c r="L23" s="3189" t="s">
        <v>2816</v>
      </c>
      <c r="M23" s="3189" t="s">
        <v>3066</v>
      </c>
      <c r="N23" s="3189" t="s">
        <v>3038</v>
      </c>
      <c r="O23" s="3199">
        <f t="shared" si="0"/>
        <v>293.99530528401584</v>
      </c>
    </row>
    <row r="24" spans="1:15">
      <c r="A24" s="3189" t="s">
        <v>3061</v>
      </c>
      <c r="B24" s="3189" t="s">
        <v>3032</v>
      </c>
      <c r="C24" s="3189" t="s">
        <v>3033</v>
      </c>
      <c r="D24" s="3189">
        <v>67034</v>
      </c>
      <c r="E24" s="3189">
        <v>93847.6</v>
      </c>
      <c r="F24" s="3189" t="s">
        <v>3062</v>
      </c>
      <c r="G24" s="3189" t="s">
        <v>3035</v>
      </c>
      <c r="H24" s="3189" t="s">
        <v>3075</v>
      </c>
      <c r="I24" s="3189">
        <v>8044.07</v>
      </c>
      <c r="J24" s="3189">
        <v>8172.47</v>
      </c>
      <c r="K24" s="3189">
        <v>870.82</v>
      </c>
      <c r="L24" s="3189">
        <v>1.6</v>
      </c>
      <c r="M24" s="3189" t="s">
        <v>3063</v>
      </c>
      <c r="N24" s="3189" t="s">
        <v>3038</v>
      </c>
      <c r="O24" s="3199">
        <f t="shared" si="0"/>
        <v>81.27727086105557</v>
      </c>
    </row>
    <row r="25" spans="1:15" s="3201" customFormat="1">
      <c r="A25" s="3192" t="s">
        <v>3076</v>
      </c>
      <c r="B25" s="3192" t="s">
        <v>3032</v>
      </c>
      <c r="C25" s="3192" t="s">
        <v>3033</v>
      </c>
      <c r="D25" s="3192">
        <v>17543</v>
      </c>
      <c r="E25" s="3192">
        <v>24560.2</v>
      </c>
      <c r="F25" s="3192" t="s">
        <v>3062</v>
      </c>
      <c r="G25" s="3192" t="s">
        <v>3035</v>
      </c>
      <c r="H25" s="3192" t="s">
        <v>3075</v>
      </c>
      <c r="I25" s="3192">
        <v>4210.3100000000004</v>
      </c>
      <c r="J25" s="3192">
        <v>4210.3100000000004</v>
      </c>
      <c r="K25" s="3192">
        <v>1714.28</v>
      </c>
      <c r="L25" s="3192">
        <v>0</v>
      </c>
      <c r="M25" s="3192" t="s">
        <v>3077</v>
      </c>
      <c r="N25" s="3192" t="s">
        <v>3038</v>
      </c>
      <c r="O25" s="3200">
        <f t="shared" si="0"/>
        <v>160.00041997947901</v>
      </c>
    </row>
    <row r="26" spans="1:15">
      <c r="A26" s="3189" t="s">
        <v>3061</v>
      </c>
      <c r="B26" s="3189" t="s">
        <v>3032</v>
      </c>
      <c r="C26" s="3189" t="s">
        <v>3033</v>
      </c>
      <c r="D26" s="3189">
        <v>68528</v>
      </c>
      <c r="E26" s="3189">
        <v>95939.199999999997</v>
      </c>
      <c r="F26" s="3189" t="s">
        <v>3062</v>
      </c>
      <c r="G26" s="3189" t="s">
        <v>3035</v>
      </c>
      <c r="H26" s="3189" t="s">
        <v>3075</v>
      </c>
      <c r="I26" s="3189" t="s">
        <v>2816</v>
      </c>
      <c r="J26" s="3189">
        <v>8094.96</v>
      </c>
      <c r="K26" s="3189">
        <v>843.75</v>
      </c>
      <c r="L26" s="3189" t="s">
        <v>2816</v>
      </c>
      <c r="M26" s="3189" t="s">
        <v>3063</v>
      </c>
      <c r="N26" s="3189" t="s">
        <v>3038</v>
      </c>
      <c r="O26" s="3199">
        <f t="shared" si="0"/>
        <v>78.75126930889563</v>
      </c>
    </row>
    <row r="27" spans="1:15" s="3201" customFormat="1">
      <c r="A27" s="3192" t="s">
        <v>3076</v>
      </c>
      <c r="B27" s="3192" t="s">
        <v>3032</v>
      </c>
      <c r="C27" s="3192" t="s">
        <v>3033</v>
      </c>
      <c r="D27" s="3192">
        <v>33453</v>
      </c>
      <c r="E27" s="3192">
        <v>46834.2</v>
      </c>
      <c r="F27" s="3192" t="s">
        <v>3062</v>
      </c>
      <c r="G27" s="3192" t="s">
        <v>3035</v>
      </c>
      <c r="H27" s="3192" t="s">
        <v>3075</v>
      </c>
      <c r="I27" s="3192">
        <v>8028.72</v>
      </c>
      <c r="J27" s="3192">
        <v>8028.72</v>
      </c>
      <c r="K27" s="3192">
        <v>1714.28</v>
      </c>
      <c r="L27" s="3192">
        <v>0</v>
      </c>
      <c r="M27" s="3192" t="s">
        <v>3077</v>
      </c>
      <c r="N27" s="3192" t="s">
        <v>3038</v>
      </c>
      <c r="O27" s="3200">
        <f t="shared" si="0"/>
        <v>160.0008</v>
      </c>
    </row>
    <row r="28" spans="1:15">
      <c r="A28" s="3189" t="s">
        <v>3078</v>
      </c>
      <c r="B28" s="3189" t="s">
        <v>3032</v>
      </c>
      <c r="C28" s="3189" t="s">
        <v>3033</v>
      </c>
      <c r="D28" s="3189">
        <v>31470</v>
      </c>
      <c r="E28" s="3189">
        <v>47205</v>
      </c>
      <c r="F28" s="3189" t="s">
        <v>3079</v>
      </c>
      <c r="G28" s="3189" t="s">
        <v>3035</v>
      </c>
      <c r="H28" s="3189" t="s">
        <v>3080</v>
      </c>
      <c r="I28" s="3189">
        <v>3776.4</v>
      </c>
      <c r="J28" s="3189">
        <v>3870.84</v>
      </c>
      <c r="K28" s="3189">
        <v>820</v>
      </c>
      <c r="L28" s="3189">
        <v>2.5</v>
      </c>
      <c r="M28" s="3189" t="s">
        <v>3071</v>
      </c>
      <c r="N28" s="3189" t="s">
        <v>3038</v>
      </c>
      <c r="O28" s="3199">
        <f t="shared" si="0"/>
        <v>82.001045529075299</v>
      </c>
    </row>
    <row r="29" spans="1:15">
      <c r="A29" s="3189" t="s">
        <v>3081</v>
      </c>
      <c r="B29" s="3189" t="s">
        <v>3032</v>
      </c>
      <c r="C29" s="3189" t="s">
        <v>3033</v>
      </c>
      <c r="D29" s="3189">
        <v>15504</v>
      </c>
      <c r="E29" s="3189">
        <v>31008</v>
      </c>
      <c r="F29" s="3189" t="s">
        <v>3082</v>
      </c>
      <c r="G29" s="3189" t="s">
        <v>3035</v>
      </c>
      <c r="H29" s="3189" t="s">
        <v>3083</v>
      </c>
      <c r="I29" s="3189">
        <v>4186.07</v>
      </c>
      <c r="J29" s="3189">
        <v>5127.9399999999996</v>
      </c>
      <c r="K29" s="3189">
        <v>1653.75</v>
      </c>
      <c r="L29" s="3189">
        <v>22.5</v>
      </c>
      <c r="M29" s="3189" t="s">
        <v>3084</v>
      </c>
      <c r="N29" s="3189" t="s">
        <v>3038</v>
      </c>
      <c r="O29" s="3199">
        <f t="shared" si="0"/>
        <v>220.50075850103195</v>
      </c>
    </row>
    <row r="30" spans="1:15" s="3204" customFormat="1">
      <c r="A30" s="3190" t="s">
        <v>3231</v>
      </c>
      <c r="B30" s="3190" t="s">
        <v>3032</v>
      </c>
      <c r="C30" s="3190" t="s">
        <v>3033</v>
      </c>
      <c r="D30" s="3190">
        <v>6925</v>
      </c>
      <c r="E30" s="3190">
        <v>9695</v>
      </c>
      <c r="F30" s="3190" t="s">
        <v>3062</v>
      </c>
      <c r="G30" s="3190" t="s">
        <v>3035</v>
      </c>
      <c r="H30" s="3190" t="s">
        <v>3086</v>
      </c>
      <c r="I30" s="3190">
        <v>882.94</v>
      </c>
      <c r="J30" s="3190">
        <v>882.94</v>
      </c>
      <c r="K30" s="3190">
        <v>910.72</v>
      </c>
      <c r="L30" s="3190">
        <v>0</v>
      </c>
      <c r="M30" s="3190" t="s">
        <v>3087</v>
      </c>
      <c r="N30" s="3190" t="s">
        <v>3038</v>
      </c>
      <c r="O30" s="3203">
        <f t="shared" si="0"/>
        <v>85.000665675090261</v>
      </c>
    </row>
    <row r="31" spans="1:15" s="3201" customFormat="1">
      <c r="A31" s="3192" t="s">
        <v>3050</v>
      </c>
      <c r="B31" s="3192" t="s">
        <v>3032</v>
      </c>
      <c r="C31" s="3192" t="s">
        <v>3033</v>
      </c>
      <c r="D31" s="3192">
        <v>25651</v>
      </c>
      <c r="E31" s="3192">
        <v>51302</v>
      </c>
      <c r="F31" s="3192" t="s">
        <v>3039</v>
      </c>
      <c r="G31" s="3192" t="s">
        <v>3035</v>
      </c>
      <c r="H31" s="3192" t="s">
        <v>3086</v>
      </c>
      <c r="I31" s="3192">
        <v>3847.65</v>
      </c>
      <c r="J31" s="3192">
        <v>3847.65</v>
      </c>
      <c r="K31" s="3192">
        <v>750</v>
      </c>
      <c r="L31" s="3192">
        <v>0</v>
      </c>
      <c r="M31" s="3192" t="s">
        <v>3052</v>
      </c>
      <c r="N31" s="3192" t="s">
        <v>3038</v>
      </c>
      <c r="O31" s="3200">
        <f t="shared" si="0"/>
        <v>100.0005</v>
      </c>
    </row>
    <row r="32" spans="1:15">
      <c r="A32" s="3189" t="s">
        <v>3048</v>
      </c>
      <c r="B32" s="3189" t="s">
        <v>3032</v>
      </c>
      <c r="C32" s="3189" t="s">
        <v>3033</v>
      </c>
      <c r="D32" s="3189">
        <v>23764</v>
      </c>
      <c r="E32" s="3189">
        <v>42775.199999999997</v>
      </c>
      <c r="F32" s="3189" t="s">
        <v>3088</v>
      </c>
      <c r="G32" s="3189" t="s">
        <v>3035</v>
      </c>
      <c r="H32" s="3189" t="s">
        <v>3089</v>
      </c>
      <c r="I32" s="3189">
        <v>3564.59</v>
      </c>
      <c r="J32" s="3189">
        <v>3564.59</v>
      </c>
      <c r="K32" s="3189">
        <v>833.33</v>
      </c>
      <c r="L32" s="3189">
        <v>0</v>
      </c>
      <c r="M32" s="3189" t="s">
        <v>3049</v>
      </c>
      <c r="N32" s="3189" t="s">
        <v>3038</v>
      </c>
      <c r="O32" s="3199">
        <f t="shared" si="0"/>
        <v>100.00021946221175</v>
      </c>
    </row>
    <row r="33" spans="1:15">
      <c r="A33" s="3189" t="s">
        <v>3090</v>
      </c>
      <c r="B33" s="3189" t="s">
        <v>3032</v>
      </c>
      <c r="C33" s="3189" t="s">
        <v>3033</v>
      </c>
      <c r="D33" s="3189">
        <v>627</v>
      </c>
      <c r="E33" s="3189">
        <v>1065.9000000000001</v>
      </c>
      <c r="F33" s="3189" t="s">
        <v>3058</v>
      </c>
      <c r="G33" s="3189" t="s">
        <v>3035</v>
      </c>
      <c r="H33" s="3189" t="s">
        <v>3089</v>
      </c>
      <c r="I33" s="3189">
        <v>86.26</v>
      </c>
      <c r="J33" s="3189">
        <v>86.26</v>
      </c>
      <c r="K33" s="3189">
        <v>809.26</v>
      </c>
      <c r="L33" s="3189">
        <v>0</v>
      </c>
      <c r="M33" s="3189" t="s">
        <v>3091</v>
      </c>
      <c r="N33" s="3189" t="s">
        <v>3038</v>
      </c>
      <c r="O33" s="3199">
        <f t="shared" si="0"/>
        <v>91.717630303030305</v>
      </c>
    </row>
    <row r="34" spans="1:15">
      <c r="A34" s="3189" t="s">
        <v>3090</v>
      </c>
      <c r="B34" s="3189" t="s">
        <v>3032</v>
      </c>
      <c r="C34" s="3189" t="s">
        <v>3033</v>
      </c>
      <c r="D34" s="3189">
        <v>1797</v>
      </c>
      <c r="E34" s="3189">
        <v>3054.9</v>
      </c>
      <c r="F34" s="3189" t="s">
        <v>3058</v>
      </c>
      <c r="G34" s="3189" t="s">
        <v>3035</v>
      </c>
      <c r="H34" s="3189" t="s">
        <v>3089</v>
      </c>
      <c r="I34" s="3189">
        <v>247.99</v>
      </c>
      <c r="J34" s="3189">
        <v>247.99</v>
      </c>
      <c r="K34" s="3189">
        <v>811.77</v>
      </c>
      <c r="L34" s="3189">
        <v>0</v>
      </c>
      <c r="M34" s="3189" t="s">
        <v>3091</v>
      </c>
      <c r="N34" s="3189" t="s">
        <v>3038</v>
      </c>
      <c r="O34" s="3199">
        <f t="shared" si="0"/>
        <v>92.001943962159146</v>
      </c>
    </row>
    <row r="35" spans="1:15">
      <c r="A35" s="3189" t="s">
        <v>3092</v>
      </c>
      <c r="B35" s="3189" t="s">
        <v>3032</v>
      </c>
      <c r="C35" s="3189" t="s">
        <v>3033</v>
      </c>
      <c r="D35" s="3189">
        <v>6105</v>
      </c>
      <c r="E35" s="3189">
        <v>7326</v>
      </c>
      <c r="F35" s="3189" t="s">
        <v>3034</v>
      </c>
      <c r="G35" s="3189" t="s">
        <v>3035</v>
      </c>
      <c r="H35" s="3189" t="s">
        <v>3093</v>
      </c>
      <c r="I35" s="3189">
        <v>1282.04</v>
      </c>
      <c r="J35" s="3189">
        <v>1282.04</v>
      </c>
      <c r="K35" s="3189">
        <v>1750</v>
      </c>
      <c r="L35" s="3189">
        <v>0</v>
      </c>
      <c r="M35" s="3189" t="s">
        <v>3037</v>
      </c>
      <c r="N35" s="3189" t="s">
        <v>3038</v>
      </c>
      <c r="O35" s="3199">
        <f t="shared" si="0"/>
        <v>139.999607993448</v>
      </c>
    </row>
    <row r="36" spans="1:15">
      <c r="A36" s="3189" t="s">
        <v>3094</v>
      </c>
      <c r="B36" s="3189" t="s">
        <v>3032</v>
      </c>
      <c r="C36" s="3189" t="s">
        <v>3033</v>
      </c>
      <c r="D36" s="3189">
        <v>59028</v>
      </c>
      <c r="E36" s="3189">
        <v>118056</v>
      </c>
      <c r="F36" s="3189" t="s">
        <v>3039</v>
      </c>
      <c r="G36" s="3189" t="s">
        <v>3035</v>
      </c>
      <c r="H36" s="3189" t="s">
        <v>3095</v>
      </c>
      <c r="I36" s="3189">
        <v>8411.48</v>
      </c>
      <c r="J36" s="3189">
        <v>8411.48</v>
      </c>
      <c r="K36" s="3189">
        <v>712.5</v>
      </c>
      <c r="L36" s="3189">
        <v>0</v>
      </c>
      <c r="M36" s="3189" t="s">
        <v>3096</v>
      </c>
      <c r="N36" s="3189" t="s">
        <v>3038</v>
      </c>
      <c r="O36" s="3199">
        <f t="shared" si="0"/>
        <v>95.000362058684004</v>
      </c>
    </row>
    <row r="37" spans="1:15">
      <c r="A37" s="3189" t="s">
        <v>3097</v>
      </c>
      <c r="B37" s="3189" t="s">
        <v>3032</v>
      </c>
      <c r="C37" s="3189" t="s">
        <v>3033</v>
      </c>
      <c r="D37" s="3189">
        <v>16611</v>
      </c>
      <c r="E37" s="3189">
        <v>24916.5</v>
      </c>
      <c r="F37" s="3189" t="s">
        <v>3079</v>
      </c>
      <c r="G37" s="3189" t="s">
        <v>3035</v>
      </c>
      <c r="H37" s="3189" t="s">
        <v>3095</v>
      </c>
      <c r="I37" s="3189" t="s">
        <v>2816</v>
      </c>
      <c r="J37" s="3189">
        <v>1993.31</v>
      </c>
      <c r="K37" s="3189">
        <v>800</v>
      </c>
      <c r="L37" s="3189" t="s">
        <v>2816</v>
      </c>
      <c r="M37" s="3189" t="s">
        <v>3047</v>
      </c>
      <c r="N37" s="3189" t="s">
        <v>3038</v>
      </c>
      <c r="O37" s="3199">
        <f t="shared" si="0"/>
        <v>79.999998657516102</v>
      </c>
    </row>
    <row r="38" spans="1:15">
      <c r="A38" s="3189" t="s">
        <v>3098</v>
      </c>
      <c r="B38" s="3189" t="s">
        <v>3032</v>
      </c>
      <c r="C38" s="3189" t="s">
        <v>3033</v>
      </c>
      <c r="D38" s="3189">
        <v>40502</v>
      </c>
      <c r="E38" s="3189">
        <v>72903.600000000006</v>
      </c>
      <c r="F38" s="3189" t="s">
        <v>3043</v>
      </c>
      <c r="G38" s="3189" t="s">
        <v>3035</v>
      </c>
      <c r="H38" s="3189" t="s">
        <v>3099</v>
      </c>
      <c r="I38" s="3189">
        <v>9720.4699999999993</v>
      </c>
      <c r="J38" s="3189">
        <v>9720.4699999999993</v>
      </c>
      <c r="K38" s="3189">
        <v>1333.32</v>
      </c>
      <c r="L38" s="3189">
        <v>0</v>
      </c>
      <c r="M38" s="3189" t="s">
        <v>3044</v>
      </c>
      <c r="N38" s="3189" t="s">
        <v>3038</v>
      </c>
      <c r="O38" s="3199">
        <f t="shared" si="0"/>
        <v>160.00063539825192</v>
      </c>
    </row>
    <row r="39" spans="1:15" s="3201" customFormat="1">
      <c r="A39" s="3192" t="s">
        <v>3061</v>
      </c>
      <c r="B39" s="3192" t="s">
        <v>3032</v>
      </c>
      <c r="C39" s="3192" t="s">
        <v>3033</v>
      </c>
      <c r="D39" s="3192">
        <v>67034</v>
      </c>
      <c r="E39" s="3192">
        <v>93847.6</v>
      </c>
      <c r="F39" s="3192" t="s">
        <v>3062</v>
      </c>
      <c r="G39" s="3192" t="s">
        <v>3035</v>
      </c>
      <c r="H39" s="3192" t="s">
        <v>3100</v>
      </c>
      <c r="I39" s="3192">
        <v>7574.84</v>
      </c>
      <c r="J39" s="3192">
        <v>8172.47</v>
      </c>
      <c r="K39" s="3192">
        <v>870.82</v>
      </c>
      <c r="L39" s="3192">
        <v>7.89</v>
      </c>
      <c r="M39" s="3192" t="s">
        <v>3063</v>
      </c>
      <c r="N39" s="3192" t="s">
        <v>3038</v>
      </c>
      <c r="O39" s="3200">
        <f t="shared" si="0"/>
        <v>81.27727086105557</v>
      </c>
    </row>
    <row r="40" spans="1:15">
      <c r="A40" s="3189" t="s">
        <v>3061</v>
      </c>
      <c r="B40" s="3189" t="s">
        <v>3032</v>
      </c>
      <c r="C40" s="3189" t="s">
        <v>3033</v>
      </c>
      <c r="D40" s="3189">
        <v>68528</v>
      </c>
      <c r="E40" s="3189">
        <v>95939.199999999997</v>
      </c>
      <c r="F40" s="3189" t="s">
        <v>3062</v>
      </c>
      <c r="G40" s="3189" t="s">
        <v>3035</v>
      </c>
      <c r="H40" s="3189" t="s">
        <v>3100</v>
      </c>
      <c r="I40" s="3189">
        <v>7743.65</v>
      </c>
      <c r="J40" s="3189">
        <v>8094.96</v>
      </c>
      <c r="K40" s="3189">
        <v>843.75</v>
      </c>
      <c r="L40" s="3189">
        <v>4.54</v>
      </c>
      <c r="M40" s="3189" t="s">
        <v>3063</v>
      </c>
      <c r="N40" s="3189" t="s">
        <v>3038</v>
      </c>
      <c r="O40" s="3199">
        <f t="shared" si="0"/>
        <v>78.75126930889563</v>
      </c>
    </row>
    <row r="41" spans="1:15">
      <c r="A41" s="3189" t="s">
        <v>3094</v>
      </c>
      <c r="B41" s="3189" t="s">
        <v>3032</v>
      </c>
      <c r="C41" s="3189" t="s">
        <v>3033</v>
      </c>
      <c r="D41" s="3189">
        <v>23266</v>
      </c>
      <c r="E41" s="3189">
        <v>46532</v>
      </c>
      <c r="F41" s="3189" t="s">
        <v>3039</v>
      </c>
      <c r="G41" s="3189" t="s">
        <v>3035</v>
      </c>
      <c r="H41" s="3189" t="s">
        <v>3101</v>
      </c>
      <c r="I41" s="3189">
        <v>3315.4</v>
      </c>
      <c r="J41" s="3189">
        <v>3315.4</v>
      </c>
      <c r="K41" s="3189">
        <v>712.5</v>
      </c>
      <c r="L41" s="3189">
        <v>0</v>
      </c>
      <c r="M41" s="3189" t="s">
        <v>3096</v>
      </c>
      <c r="N41" s="3189" t="s">
        <v>3038</v>
      </c>
      <c r="O41" s="3199">
        <f t="shared" si="0"/>
        <v>95.000331728702818</v>
      </c>
    </row>
    <row r="42" spans="1:15">
      <c r="A42" s="3189" t="s">
        <v>3102</v>
      </c>
      <c r="B42" s="3189" t="s">
        <v>3032</v>
      </c>
      <c r="C42" s="3189" t="s">
        <v>3033</v>
      </c>
      <c r="D42" s="3189">
        <v>24349</v>
      </c>
      <c r="E42" s="3189">
        <v>85221.5</v>
      </c>
      <c r="F42" s="3189" t="s">
        <v>3103</v>
      </c>
      <c r="G42" s="3189" t="s">
        <v>3035</v>
      </c>
      <c r="H42" s="3189" t="s">
        <v>3104</v>
      </c>
      <c r="I42" s="3189">
        <v>4382.8100000000004</v>
      </c>
      <c r="J42" s="3189">
        <v>4382.8100000000004</v>
      </c>
      <c r="K42" s="3189">
        <v>514.28</v>
      </c>
      <c r="L42" s="3189">
        <v>0</v>
      </c>
      <c r="M42" s="3189" t="s">
        <v>3105</v>
      </c>
      <c r="N42" s="3189" t="s">
        <v>3038</v>
      </c>
      <c r="O42" s="3199">
        <f t="shared" si="0"/>
        <v>120.0003262023081</v>
      </c>
    </row>
    <row r="43" spans="1:15">
      <c r="A43" s="3189" t="s">
        <v>3106</v>
      </c>
      <c r="B43" s="3189" t="s">
        <v>3032</v>
      </c>
      <c r="C43" s="3189" t="s">
        <v>3033</v>
      </c>
      <c r="D43" s="3189">
        <v>57464</v>
      </c>
      <c r="E43" s="3189">
        <v>97688.8</v>
      </c>
      <c r="F43" s="3189" t="s">
        <v>3058</v>
      </c>
      <c r="G43" s="3189" t="s">
        <v>3107</v>
      </c>
      <c r="H43" s="3189" t="s">
        <v>3108</v>
      </c>
      <c r="I43" s="3189">
        <v>7326.65</v>
      </c>
      <c r="J43" s="3189">
        <v>7326.65</v>
      </c>
      <c r="K43" s="3189">
        <v>750</v>
      </c>
      <c r="L43" s="3189">
        <v>0</v>
      </c>
      <c r="M43" s="3189" t="s">
        <v>3109</v>
      </c>
      <c r="N43" s="3189" t="s">
        <v>3038</v>
      </c>
      <c r="O43" s="3199">
        <f t="shared" si="0"/>
        <v>85.000308984755662</v>
      </c>
    </row>
    <row r="44" spans="1:15">
      <c r="A44" s="3189" t="s">
        <v>3106</v>
      </c>
      <c r="B44" s="3189" t="s">
        <v>3032</v>
      </c>
      <c r="C44" s="3189" t="s">
        <v>3033</v>
      </c>
      <c r="D44" s="3189">
        <v>55527</v>
      </c>
      <c r="E44" s="3189">
        <v>94395.9</v>
      </c>
      <c r="F44" s="3189" t="s">
        <v>3058</v>
      </c>
      <c r="G44" s="3189" t="s">
        <v>3107</v>
      </c>
      <c r="H44" s="3189" t="s">
        <v>3108</v>
      </c>
      <c r="I44" s="3189">
        <v>7079.68</v>
      </c>
      <c r="J44" s="3189">
        <v>7079.68</v>
      </c>
      <c r="K44" s="3189">
        <v>750</v>
      </c>
      <c r="L44" s="3189">
        <v>0</v>
      </c>
      <c r="M44" s="3189" t="s">
        <v>3109</v>
      </c>
      <c r="N44" s="3189" t="s">
        <v>3038</v>
      </c>
      <c r="O44" s="3199">
        <f t="shared" si="0"/>
        <v>85.000274922109952</v>
      </c>
    </row>
    <row r="45" spans="1:15">
      <c r="A45" s="3189" t="s">
        <v>3106</v>
      </c>
      <c r="B45" s="3189" t="s">
        <v>3032</v>
      </c>
      <c r="C45" s="3189" t="s">
        <v>3033</v>
      </c>
      <c r="D45" s="3189">
        <v>63903</v>
      </c>
      <c r="E45" s="3189">
        <v>108635.1</v>
      </c>
      <c r="F45" s="3189" t="s">
        <v>3058</v>
      </c>
      <c r="G45" s="3189" t="s">
        <v>3107</v>
      </c>
      <c r="H45" s="3189" t="s">
        <v>3108</v>
      </c>
      <c r="I45" s="3189">
        <v>8147.63</v>
      </c>
      <c r="J45" s="3189">
        <v>8147.63</v>
      </c>
      <c r="K45" s="3189">
        <v>750</v>
      </c>
      <c r="L45" s="3189">
        <v>0</v>
      </c>
      <c r="M45" s="3189" t="s">
        <v>3109</v>
      </c>
      <c r="N45" s="3189" t="s">
        <v>3038</v>
      </c>
      <c r="O45" s="3199">
        <f t="shared" si="0"/>
        <v>85.000398918673611</v>
      </c>
    </row>
    <row r="46" spans="1:15">
      <c r="A46" s="3189" t="s">
        <v>3110</v>
      </c>
      <c r="B46" s="3189" t="s">
        <v>3032</v>
      </c>
      <c r="C46" s="3189" t="s">
        <v>3033</v>
      </c>
      <c r="D46" s="3189">
        <v>22900</v>
      </c>
      <c r="E46" s="3189">
        <v>34350</v>
      </c>
      <c r="F46" s="3189" t="s">
        <v>3070</v>
      </c>
      <c r="G46" s="3189" t="s">
        <v>3035</v>
      </c>
      <c r="H46" s="3189" t="s">
        <v>3111</v>
      </c>
      <c r="I46" s="3189">
        <v>1374</v>
      </c>
      <c r="J46" s="3189">
        <v>1374</v>
      </c>
      <c r="K46" s="3189">
        <v>400</v>
      </c>
      <c r="L46" s="3189">
        <v>0</v>
      </c>
      <c r="M46" s="3189" t="s">
        <v>3077</v>
      </c>
      <c r="N46" s="3189" t="s">
        <v>3038</v>
      </c>
      <c r="O46" s="3199">
        <f t="shared" si="0"/>
        <v>40.000199999999992</v>
      </c>
    </row>
    <row r="47" spans="1:15">
      <c r="A47" s="3189" t="s">
        <v>3048</v>
      </c>
      <c r="B47" s="3189" t="s">
        <v>3032</v>
      </c>
      <c r="C47" s="3189" t="s">
        <v>3033</v>
      </c>
      <c r="D47" s="3189">
        <v>1924</v>
      </c>
      <c r="E47" s="3189">
        <v>3463.2</v>
      </c>
      <c r="F47" s="3189" t="s">
        <v>3043</v>
      </c>
      <c r="G47" s="3189" t="s">
        <v>3035</v>
      </c>
      <c r="H47" s="3189" t="s">
        <v>3112</v>
      </c>
      <c r="I47" s="3189">
        <v>288.60000000000002</v>
      </c>
      <c r="J47" s="3189">
        <v>290.05</v>
      </c>
      <c r="K47" s="3189">
        <v>837.51</v>
      </c>
      <c r="L47" s="3189">
        <v>0.5</v>
      </c>
      <c r="M47" s="3189" t="s">
        <v>3049</v>
      </c>
      <c r="N47" s="3189" t="s">
        <v>3038</v>
      </c>
      <c r="O47" s="3199">
        <f t="shared" si="0"/>
        <v>100.50292801455302</v>
      </c>
    </row>
    <row r="48" spans="1:15">
      <c r="A48" s="3189" t="s">
        <v>3113</v>
      </c>
      <c r="B48" s="3189" t="s">
        <v>3032</v>
      </c>
      <c r="C48" s="3189" t="s">
        <v>3033</v>
      </c>
      <c r="D48" s="3189">
        <v>3746</v>
      </c>
      <c r="E48" s="3189">
        <v>7492</v>
      </c>
      <c r="F48" s="3189" t="s">
        <v>3039</v>
      </c>
      <c r="G48" s="3189" t="s">
        <v>3035</v>
      </c>
      <c r="H48" s="3189" t="s">
        <v>3112</v>
      </c>
      <c r="I48" s="3189">
        <v>533.79999999999995</v>
      </c>
      <c r="J48" s="3189">
        <v>533.79999999999995</v>
      </c>
      <c r="K48" s="3189">
        <v>712.5</v>
      </c>
      <c r="L48" s="3189">
        <v>0</v>
      </c>
      <c r="M48" s="3189" t="s">
        <v>3114</v>
      </c>
      <c r="N48" s="3189" t="s">
        <v>3038</v>
      </c>
      <c r="O48" s="3199">
        <f t="shared" si="0"/>
        <v>94.999585157501315</v>
      </c>
    </row>
    <row r="49" spans="1:15">
      <c r="A49" s="3189" t="s">
        <v>3113</v>
      </c>
      <c r="B49" s="3189" t="s">
        <v>3032</v>
      </c>
      <c r="C49" s="3189" t="s">
        <v>3033</v>
      </c>
      <c r="D49" s="3189">
        <v>684</v>
      </c>
      <c r="E49" s="3189">
        <v>1368</v>
      </c>
      <c r="F49" s="3189" t="s">
        <v>3039</v>
      </c>
      <c r="G49" s="3189" t="s">
        <v>3035</v>
      </c>
      <c r="H49" s="3189" t="s">
        <v>3112</v>
      </c>
      <c r="I49" s="3189">
        <v>97.46</v>
      </c>
      <c r="J49" s="3189">
        <v>97.46</v>
      </c>
      <c r="K49" s="3189">
        <v>712.5</v>
      </c>
      <c r="L49" s="3189">
        <v>0</v>
      </c>
      <c r="M49" s="3189" t="s">
        <v>3114</v>
      </c>
      <c r="N49" s="3189" t="s">
        <v>3038</v>
      </c>
      <c r="O49" s="3199">
        <f t="shared" si="0"/>
        <v>94.99072836257308</v>
      </c>
    </row>
    <row r="50" spans="1:15" s="3201" customFormat="1">
      <c r="A50" s="3192" t="s">
        <v>3229</v>
      </c>
      <c r="B50" s="3192" t="s">
        <v>3032</v>
      </c>
      <c r="C50" s="3192" t="s">
        <v>3033</v>
      </c>
      <c r="D50" s="3192">
        <v>12562</v>
      </c>
      <c r="E50" s="3192">
        <v>22611.599999999999</v>
      </c>
      <c r="F50" s="3192" t="s">
        <v>3043</v>
      </c>
      <c r="G50" s="3192" t="s">
        <v>3035</v>
      </c>
      <c r="H50" s="3192" t="s">
        <v>3112</v>
      </c>
      <c r="I50" s="3192">
        <v>1884.29</v>
      </c>
      <c r="J50" s="3192">
        <v>1903.16</v>
      </c>
      <c r="K50" s="3192">
        <v>841.66</v>
      </c>
      <c r="L50" s="3192">
        <v>1</v>
      </c>
      <c r="M50" s="3192" t="s">
        <v>3049</v>
      </c>
      <c r="N50" s="3192" t="s">
        <v>3038</v>
      </c>
      <c r="O50" s="3200">
        <f t="shared" si="0"/>
        <v>101.00140719630632</v>
      </c>
    </row>
    <row r="51" spans="1:15">
      <c r="A51" s="3189" t="s">
        <v>3115</v>
      </c>
      <c r="B51" s="3189" t="s">
        <v>3032</v>
      </c>
      <c r="C51" s="3189" t="s">
        <v>3033</v>
      </c>
      <c r="D51" s="3189">
        <v>32262</v>
      </c>
      <c r="E51" s="3189">
        <v>64524</v>
      </c>
      <c r="F51" s="3189" t="s">
        <v>3039</v>
      </c>
      <c r="G51" s="3189" t="s">
        <v>3035</v>
      </c>
      <c r="H51" s="3189" t="s">
        <v>3112</v>
      </c>
      <c r="I51" s="3189">
        <v>4597.34</v>
      </c>
      <c r="J51" s="3189">
        <v>4597.34</v>
      </c>
      <c r="K51" s="3189">
        <v>712.5</v>
      </c>
      <c r="L51" s="3189">
        <v>0</v>
      </c>
      <c r="M51" s="3189" t="s">
        <v>3114</v>
      </c>
      <c r="N51" s="3189" t="s">
        <v>3038</v>
      </c>
      <c r="O51" s="3199">
        <f t="shared" si="0"/>
        <v>95.000578321244816</v>
      </c>
    </row>
    <row r="52" spans="1:15">
      <c r="A52" s="3193" t="s">
        <v>3116</v>
      </c>
      <c r="B52" s="3193" t="s">
        <v>3032</v>
      </c>
      <c r="C52" s="3193" t="s">
        <v>3033</v>
      </c>
      <c r="D52" s="3193">
        <v>2325</v>
      </c>
      <c r="E52" s="3193">
        <v>3487.5</v>
      </c>
      <c r="F52" s="3193" t="s">
        <v>3070</v>
      </c>
      <c r="G52" s="3193" t="s">
        <v>3035</v>
      </c>
      <c r="H52" s="3193" t="s">
        <v>3112</v>
      </c>
      <c r="I52" s="3193">
        <v>181.34</v>
      </c>
      <c r="J52" s="3193">
        <v>181.34</v>
      </c>
      <c r="K52" s="3193">
        <v>520</v>
      </c>
      <c r="L52" s="3193">
        <v>0</v>
      </c>
      <c r="M52" s="3193" t="s">
        <v>3117</v>
      </c>
      <c r="N52" s="3193" t="s">
        <v>3038</v>
      </c>
    </row>
    <row r="53" spans="1:15">
      <c r="A53" s="3193" t="s">
        <v>3116</v>
      </c>
      <c r="B53" s="3193" t="s">
        <v>3032</v>
      </c>
      <c r="C53" s="3193" t="s">
        <v>3033</v>
      </c>
      <c r="D53" s="3193">
        <v>518</v>
      </c>
      <c r="E53" s="3193">
        <v>777</v>
      </c>
      <c r="F53" s="3193" t="s">
        <v>3070</v>
      </c>
      <c r="G53" s="3193" t="s">
        <v>3035</v>
      </c>
      <c r="H53" s="3193" t="s">
        <v>3112</v>
      </c>
      <c r="I53" s="3193">
        <v>40.4</v>
      </c>
      <c r="J53" s="3193">
        <v>40.4</v>
      </c>
      <c r="K53" s="3193">
        <v>520.08000000000004</v>
      </c>
      <c r="L53" s="3193">
        <v>0</v>
      </c>
      <c r="M53" s="3193" t="s">
        <v>3117</v>
      </c>
      <c r="N53" s="3193" t="s">
        <v>3038</v>
      </c>
    </row>
    <row r="54" spans="1:15">
      <c r="A54" s="3193" t="s">
        <v>3118</v>
      </c>
      <c r="B54" s="3193" t="s">
        <v>3032</v>
      </c>
      <c r="C54" s="3193" t="s">
        <v>3033</v>
      </c>
      <c r="D54" s="3193">
        <v>250</v>
      </c>
      <c r="E54" s="3193">
        <v>500</v>
      </c>
      <c r="F54" s="3193" t="s">
        <v>3039</v>
      </c>
      <c r="G54" s="3193" t="s">
        <v>3035</v>
      </c>
      <c r="H54" s="3193" t="s">
        <v>3119</v>
      </c>
      <c r="I54" s="3193">
        <v>71.650000000000006</v>
      </c>
      <c r="J54" s="3193">
        <v>82.67</v>
      </c>
      <c r="K54" s="3193">
        <v>1653.4</v>
      </c>
      <c r="L54" s="3193">
        <v>15.38</v>
      </c>
      <c r="M54" s="3193" t="s">
        <v>3120</v>
      </c>
      <c r="N54" s="3193" t="s">
        <v>3038</v>
      </c>
    </row>
    <row r="55" spans="1:15">
      <c r="A55" s="3193" t="s">
        <v>3118</v>
      </c>
      <c r="B55" s="3193" t="s">
        <v>3032</v>
      </c>
      <c r="C55" s="3193" t="s">
        <v>3033</v>
      </c>
      <c r="D55" s="3193">
        <v>48</v>
      </c>
      <c r="E55" s="3193">
        <v>96</v>
      </c>
      <c r="F55" s="3193" t="s">
        <v>3039</v>
      </c>
      <c r="G55" s="3193" t="s">
        <v>3035</v>
      </c>
      <c r="H55" s="3193" t="s">
        <v>3119</v>
      </c>
      <c r="I55" s="3193">
        <v>13.75</v>
      </c>
      <c r="J55" s="3193">
        <v>15.84</v>
      </c>
      <c r="K55" s="3193">
        <v>1651.03</v>
      </c>
      <c r="L55" s="3193">
        <v>15.19</v>
      </c>
      <c r="M55" s="3193" t="s">
        <v>3120</v>
      </c>
      <c r="N55" s="3193" t="s">
        <v>3038</v>
      </c>
    </row>
    <row r="56" spans="1:15">
      <c r="A56" s="3193" t="s">
        <v>3118</v>
      </c>
      <c r="B56" s="3193" t="s">
        <v>3032</v>
      </c>
      <c r="C56" s="3193" t="s">
        <v>3033</v>
      </c>
      <c r="D56" s="3193">
        <v>2710</v>
      </c>
      <c r="E56" s="3193">
        <v>5420</v>
      </c>
      <c r="F56" s="3193" t="s">
        <v>3039</v>
      </c>
      <c r="G56" s="3193" t="s">
        <v>3035</v>
      </c>
      <c r="H56" s="3193" t="s">
        <v>3119</v>
      </c>
      <c r="I56" s="3193">
        <v>776.69</v>
      </c>
      <c r="J56" s="3193">
        <v>895</v>
      </c>
      <c r="K56" s="3193">
        <v>1651.3</v>
      </c>
      <c r="L56" s="3193">
        <v>15.23</v>
      </c>
      <c r="M56" s="3193" t="s">
        <v>3120</v>
      </c>
      <c r="N56" s="3193" t="s">
        <v>3038</v>
      </c>
    </row>
    <row r="57" spans="1:15">
      <c r="A57" s="3193" t="s">
        <v>3118</v>
      </c>
      <c r="B57" s="3193" t="s">
        <v>3032</v>
      </c>
      <c r="C57" s="3193" t="s">
        <v>3033</v>
      </c>
      <c r="D57" s="3193">
        <v>26</v>
      </c>
      <c r="E57" s="3193">
        <v>52</v>
      </c>
      <c r="F57" s="3193" t="s">
        <v>3039</v>
      </c>
      <c r="G57" s="3193" t="s">
        <v>3035</v>
      </c>
      <c r="H57" s="3193" t="s">
        <v>3119</v>
      </c>
      <c r="I57" s="3193">
        <v>7.45</v>
      </c>
      <c r="J57" s="3193">
        <v>8.58</v>
      </c>
      <c r="K57" s="3193">
        <v>1650</v>
      </c>
      <c r="L57" s="3193">
        <v>15.01</v>
      </c>
      <c r="M57" s="3193" t="s">
        <v>3120</v>
      </c>
      <c r="N57" s="3193" t="s">
        <v>3038</v>
      </c>
    </row>
    <row r="58" spans="1:15">
      <c r="A58" s="3193" t="s">
        <v>3121</v>
      </c>
      <c r="B58" s="3193" t="s">
        <v>3032</v>
      </c>
      <c r="C58" s="3193" t="s">
        <v>3033</v>
      </c>
      <c r="D58" s="3193">
        <v>5827</v>
      </c>
      <c r="E58" s="3193">
        <v>8740.5</v>
      </c>
      <c r="F58" s="3193" t="s">
        <v>3079</v>
      </c>
      <c r="G58" s="3193" t="s">
        <v>3035</v>
      </c>
      <c r="H58" s="3193" t="s">
        <v>3119</v>
      </c>
      <c r="I58" s="3193">
        <v>3819.86</v>
      </c>
      <c r="J58" s="3193">
        <v>5596.64</v>
      </c>
      <c r="K58" s="3193">
        <v>6403.11</v>
      </c>
      <c r="L58" s="3193">
        <v>46.51</v>
      </c>
      <c r="M58" s="3193" t="s">
        <v>3071</v>
      </c>
      <c r="N58" s="3193" t="s">
        <v>3038</v>
      </c>
    </row>
    <row r="59" spans="1:15">
      <c r="A59" s="3193" t="s">
        <v>3115</v>
      </c>
      <c r="B59" s="3193" t="s">
        <v>3032</v>
      </c>
      <c r="C59" s="3193" t="s">
        <v>3033</v>
      </c>
      <c r="D59" s="3193">
        <v>26138</v>
      </c>
      <c r="E59" s="3193">
        <v>52276</v>
      </c>
      <c r="F59" s="3193" t="s">
        <v>3039</v>
      </c>
      <c r="G59" s="3193" t="s">
        <v>3035</v>
      </c>
      <c r="H59" s="3193" t="s">
        <v>3122</v>
      </c>
      <c r="I59" s="3193">
        <v>2744.48</v>
      </c>
      <c r="J59" s="3193">
        <v>3724.98</v>
      </c>
      <c r="K59" s="3193">
        <v>712.55</v>
      </c>
      <c r="L59" s="3193">
        <v>35.729999999999997</v>
      </c>
      <c r="M59" s="3193" t="s">
        <v>3114</v>
      </c>
      <c r="N59" s="3193" t="s">
        <v>3038</v>
      </c>
    </row>
    <row r="60" spans="1:15">
      <c r="A60" s="3193" t="s">
        <v>3113</v>
      </c>
      <c r="B60" s="3193" t="s">
        <v>3032</v>
      </c>
      <c r="C60" s="3193" t="s">
        <v>3033</v>
      </c>
      <c r="D60" s="3193">
        <v>29069</v>
      </c>
      <c r="E60" s="3193">
        <v>58138</v>
      </c>
      <c r="F60" s="3193" t="s">
        <v>3039</v>
      </c>
      <c r="G60" s="3193" t="s">
        <v>3035</v>
      </c>
      <c r="H60" s="3193" t="s">
        <v>3122</v>
      </c>
      <c r="I60" s="3193">
        <v>3046.44</v>
      </c>
      <c r="J60" s="3193">
        <v>4158.75</v>
      </c>
      <c r="K60" s="3193">
        <v>715.32</v>
      </c>
      <c r="L60" s="3193">
        <v>36.51</v>
      </c>
      <c r="M60" s="3193" t="s">
        <v>3114</v>
      </c>
      <c r="N60" s="3193" t="s">
        <v>3038</v>
      </c>
    </row>
    <row r="61" spans="1:15">
      <c r="A61" s="3193" t="s">
        <v>3113</v>
      </c>
      <c r="B61" s="3193" t="s">
        <v>3032</v>
      </c>
      <c r="C61" s="3193" t="s">
        <v>3033</v>
      </c>
      <c r="D61" s="3193">
        <v>30487</v>
      </c>
      <c r="E61" s="3193">
        <v>60974</v>
      </c>
      <c r="F61" s="3193" t="s">
        <v>3039</v>
      </c>
      <c r="G61" s="3193" t="s">
        <v>3035</v>
      </c>
      <c r="H61" s="3193" t="s">
        <v>3123</v>
      </c>
      <c r="I61" s="3193">
        <v>2926.76</v>
      </c>
      <c r="J61" s="3193">
        <v>4344.6899999999996</v>
      </c>
      <c r="K61" s="3193">
        <v>712.54</v>
      </c>
      <c r="L61" s="3193">
        <v>48.45</v>
      </c>
      <c r="M61" s="3193" t="s">
        <v>3114</v>
      </c>
      <c r="N61" s="3193" t="s">
        <v>3038</v>
      </c>
    </row>
    <row r="62" spans="1:15">
      <c r="A62" s="3193" t="s">
        <v>3124</v>
      </c>
      <c r="B62" s="3193" t="s">
        <v>3032</v>
      </c>
      <c r="C62" s="3193" t="s">
        <v>3033</v>
      </c>
      <c r="D62" s="3193">
        <v>52580</v>
      </c>
      <c r="E62" s="3193">
        <v>78870</v>
      </c>
      <c r="F62" s="3193" t="s">
        <v>3079</v>
      </c>
      <c r="G62" s="3193" t="s">
        <v>3035</v>
      </c>
      <c r="H62" s="3193" t="s">
        <v>3125</v>
      </c>
      <c r="I62" s="3193">
        <v>2366.09</v>
      </c>
      <c r="J62" s="3193">
        <v>3943.69</v>
      </c>
      <c r="K62" s="3193">
        <v>500.02</v>
      </c>
      <c r="L62" s="3193">
        <v>66.680000000000007</v>
      </c>
      <c r="M62" s="3193" t="s">
        <v>3126</v>
      </c>
      <c r="N62" s="3193" t="s">
        <v>3038</v>
      </c>
    </row>
    <row r="63" spans="1:15">
      <c r="A63" s="3193" t="s">
        <v>3127</v>
      </c>
      <c r="B63" s="3193" t="s">
        <v>3032</v>
      </c>
      <c r="C63" s="3193" t="s">
        <v>3033</v>
      </c>
      <c r="D63" s="3193">
        <v>67266</v>
      </c>
      <c r="E63" s="3193">
        <v>73992.600000000006</v>
      </c>
      <c r="F63" s="3193" t="s">
        <v>3073</v>
      </c>
      <c r="G63" s="3193" t="s">
        <v>3035</v>
      </c>
      <c r="H63" s="3193" t="s">
        <v>3125</v>
      </c>
      <c r="I63" s="3193">
        <v>5044.9399999999996</v>
      </c>
      <c r="J63" s="3193">
        <v>5196.3</v>
      </c>
      <c r="K63" s="3193">
        <v>702.26</v>
      </c>
      <c r="L63" s="3193">
        <v>3</v>
      </c>
      <c r="M63" s="3193" t="s">
        <v>3128</v>
      </c>
      <c r="N63" s="3193" t="s">
        <v>3038</v>
      </c>
    </row>
    <row r="64" spans="1:15">
      <c r="A64" s="3193" t="s">
        <v>3127</v>
      </c>
      <c r="B64" s="3193" t="s">
        <v>3032</v>
      </c>
      <c r="C64" s="3193" t="s">
        <v>3033</v>
      </c>
      <c r="D64" s="3193">
        <v>58440</v>
      </c>
      <c r="E64" s="3193">
        <v>64284</v>
      </c>
      <c r="F64" s="3193" t="s">
        <v>3073</v>
      </c>
      <c r="G64" s="3193" t="s">
        <v>3035</v>
      </c>
      <c r="H64" s="3193" t="s">
        <v>3125</v>
      </c>
      <c r="I64" s="3193">
        <v>4383</v>
      </c>
      <c r="J64" s="3193">
        <v>4514.4799999999996</v>
      </c>
      <c r="K64" s="3193">
        <v>702.26</v>
      </c>
      <c r="L64" s="3193">
        <v>3</v>
      </c>
      <c r="M64" s="3193" t="s">
        <v>3128</v>
      </c>
      <c r="N64" s="3193" t="s">
        <v>3038</v>
      </c>
    </row>
    <row r="65" spans="1:15">
      <c r="A65" s="3193" t="s">
        <v>3127</v>
      </c>
      <c r="B65" s="3193" t="s">
        <v>3032</v>
      </c>
      <c r="C65" s="3193" t="s">
        <v>3033</v>
      </c>
      <c r="D65" s="3193">
        <v>17475</v>
      </c>
      <c r="E65" s="3193">
        <v>19222.5</v>
      </c>
      <c r="F65" s="3193" t="s">
        <v>3073</v>
      </c>
      <c r="G65" s="3193" t="s">
        <v>3035</v>
      </c>
      <c r="H65" s="3193" t="s">
        <v>3125</v>
      </c>
      <c r="I65" s="3193">
        <v>1310.6300000000001</v>
      </c>
      <c r="J65" s="3193">
        <v>1336.84</v>
      </c>
      <c r="K65" s="3193">
        <v>695.46</v>
      </c>
      <c r="L65" s="3193">
        <v>2</v>
      </c>
      <c r="M65" s="3193" t="s">
        <v>3128</v>
      </c>
      <c r="N65" s="3193" t="s">
        <v>3038</v>
      </c>
    </row>
    <row r="66" spans="1:15">
      <c r="A66" s="3193" t="s">
        <v>3129</v>
      </c>
      <c r="B66" s="3193" t="s">
        <v>3032</v>
      </c>
      <c r="C66" s="3193" t="s">
        <v>3033</v>
      </c>
      <c r="D66" s="3193">
        <v>49489</v>
      </c>
      <c r="E66" s="3193">
        <v>74233.5</v>
      </c>
      <c r="F66" s="3193" t="s">
        <v>3079</v>
      </c>
      <c r="G66" s="3193" t="s">
        <v>3035</v>
      </c>
      <c r="H66" s="3193" t="s">
        <v>3125</v>
      </c>
      <c r="I66" s="3193">
        <v>2227.0100000000002</v>
      </c>
      <c r="J66" s="3193">
        <v>3711.8</v>
      </c>
      <c r="K66" s="3193">
        <v>500.01</v>
      </c>
      <c r="L66" s="3193">
        <v>66.67</v>
      </c>
      <c r="M66" s="3193" t="s">
        <v>3126</v>
      </c>
      <c r="N66" s="3193" t="s">
        <v>3038</v>
      </c>
    </row>
    <row r="67" spans="1:15">
      <c r="A67" s="3193" t="s">
        <v>3124</v>
      </c>
      <c r="B67" s="3193" t="s">
        <v>3032</v>
      </c>
      <c r="C67" s="3193" t="s">
        <v>3033</v>
      </c>
      <c r="D67" s="3193">
        <v>41483</v>
      </c>
      <c r="E67" s="3193">
        <v>62224.5</v>
      </c>
      <c r="F67" s="3193" t="s">
        <v>3079</v>
      </c>
      <c r="G67" s="3193" t="s">
        <v>3035</v>
      </c>
      <c r="H67" s="3193" t="s">
        <v>3125</v>
      </c>
      <c r="I67" s="3193">
        <v>1866.74</v>
      </c>
      <c r="J67" s="3193">
        <v>3111.53</v>
      </c>
      <c r="K67" s="3193">
        <v>500.05</v>
      </c>
      <c r="L67" s="3193">
        <v>66.680000000000007</v>
      </c>
      <c r="M67" s="3193" t="s">
        <v>3126</v>
      </c>
      <c r="N67" s="3193" t="s">
        <v>3038</v>
      </c>
    </row>
    <row r="68" spans="1:15">
      <c r="A68" s="3196" t="s">
        <v>3208</v>
      </c>
      <c r="B68" s="3193" t="s">
        <v>3032</v>
      </c>
      <c r="C68" s="3193" t="s">
        <v>3033</v>
      </c>
      <c r="D68" s="3193">
        <v>24946</v>
      </c>
      <c r="E68" s="3193">
        <v>49892</v>
      </c>
      <c r="F68" s="3193" t="s">
        <v>3039</v>
      </c>
      <c r="G68" s="3193" t="s">
        <v>3035</v>
      </c>
      <c r="H68" s="3193" t="s">
        <v>3125</v>
      </c>
      <c r="I68" s="3193">
        <v>2848.84</v>
      </c>
      <c r="J68" s="3193">
        <v>3578.53</v>
      </c>
      <c r="K68" s="3193">
        <v>717.25</v>
      </c>
      <c r="L68" s="3193">
        <v>25.61</v>
      </c>
      <c r="M68" s="3193" t="s">
        <v>3114</v>
      </c>
      <c r="N68" s="3193" t="s">
        <v>3038</v>
      </c>
    </row>
    <row r="69" spans="1:15">
      <c r="A69" s="3193" t="s">
        <v>3129</v>
      </c>
      <c r="B69" s="3193" t="s">
        <v>3032</v>
      </c>
      <c r="C69" s="3193" t="s">
        <v>3033</v>
      </c>
      <c r="D69" s="3193">
        <v>43208</v>
      </c>
      <c r="E69" s="3193">
        <v>64812</v>
      </c>
      <c r="F69" s="3193" t="s">
        <v>3079</v>
      </c>
      <c r="G69" s="3193" t="s">
        <v>3035</v>
      </c>
      <c r="H69" s="3193" t="s">
        <v>3125</v>
      </c>
      <c r="I69" s="3193">
        <v>1944.35</v>
      </c>
      <c r="J69" s="3193">
        <v>3240.76</v>
      </c>
      <c r="K69" s="3193">
        <v>500.01</v>
      </c>
      <c r="L69" s="3193">
        <v>66.67</v>
      </c>
      <c r="M69" s="3193" t="s">
        <v>3126</v>
      </c>
      <c r="N69" s="3193" t="s">
        <v>3038</v>
      </c>
    </row>
    <row r="70" spans="1:15">
      <c r="A70" s="3193" t="s">
        <v>3127</v>
      </c>
      <c r="B70" s="3193" t="s">
        <v>3032</v>
      </c>
      <c r="C70" s="3193" t="s">
        <v>3033</v>
      </c>
      <c r="D70" s="3193">
        <v>48256</v>
      </c>
      <c r="E70" s="3193">
        <v>53081.599999999999</v>
      </c>
      <c r="F70" s="3193" t="s">
        <v>3073</v>
      </c>
      <c r="G70" s="3193" t="s">
        <v>3035</v>
      </c>
      <c r="H70" s="3193" t="s">
        <v>3125</v>
      </c>
      <c r="I70" s="3193">
        <v>3619.19</v>
      </c>
      <c r="J70" s="3193">
        <v>3691.59</v>
      </c>
      <c r="K70" s="3193">
        <v>695.46</v>
      </c>
      <c r="L70" s="3193">
        <v>2</v>
      </c>
      <c r="M70" s="3193" t="s">
        <v>3128</v>
      </c>
      <c r="N70" s="3193" t="s">
        <v>3038</v>
      </c>
    </row>
    <row r="71" spans="1:15">
      <c r="A71" s="3193" t="s">
        <v>3124</v>
      </c>
      <c r="B71" s="3193" t="s">
        <v>3032</v>
      </c>
      <c r="C71" s="3193" t="s">
        <v>3033</v>
      </c>
      <c r="D71" s="3193">
        <v>47474</v>
      </c>
      <c r="E71" s="3193">
        <v>71211</v>
      </c>
      <c r="F71" s="3193" t="s">
        <v>3079</v>
      </c>
      <c r="G71" s="3193" t="s">
        <v>3035</v>
      </c>
      <c r="H71" s="3193" t="s">
        <v>3125</v>
      </c>
      <c r="I71" s="3193">
        <v>2136.3200000000002</v>
      </c>
      <c r="J71" s="3193">
        <v>3560.73</v>
      </c>
      <c r="K71" s="3193">
        <v>500.02</v>
      </c>
      <c r="L71" s="3193">
        <v>66.680000000000007</v>
      </c>
      <c r="M71" s="3193" t="s">
        <v>3126</v>
      </c>
      <c r="N71" s="3193" t="s">
        <v>3038</v>
      </c>
    </row>
    <row r="72" spans="1:15">
      <c r="A72" s="3193" t="s">
        <v>3127</v>
      </c>
      <c r="B72" s="3193" t="s">
        <v>3032</v>
      </c>
      <c r="C72" s="3193" t="s">
        <v>3033</v>
      </c>
      <c r="D72" s="3193">
        <v>42488</v>
      </c>
      <c r="E72" s="3193">
        <v>46736.800000000003</v>
      </c>
      <c r="F72" s="3193" t="s">
        <v>3073</v>
      </c>
      <c r="G72" s="3193" t="s">
        <v>3035</v>
      </c>
      <c r="H72" s="3193" t="s">
        <v>3125</v>
      </c>
      <c r="I72" s="3193">
        <v>3186.59</v>
      </c>
      <c r="J72" s="3193">
        <v>3250.34</v>
      </c>
      <c r="K72" s="3193">
        <v>695.46</v>
      </c>
      <c r="L72" s="3193">
        <v>2</v>
      </c>
      <c r="M72" s="3193" t="s">
        <v>3128</v>
      </c>
      <c r="N72" s="3193" t="s">
        <v>3038</v>
      </c>
    </row>
    <row r="73" spans="1:15">
      <c r="A73" s="3193" t="s">
        <v>3130</v>
      </c>
      <c r="B73" s="3193" t="s">
        <v>3032</v>
      </c>
      <c r="C73" s="3193" t="s">
        <v>3033</v>
      </c>
      <c r="D73" s="3193">
        <v>3320</v>
      </c>
      <c r="E73" s="3193">
        <v>4648</v>
      </c>
      <c r="F73" s="3193" t="s">
        <v>3062</v>
      </c>
      <c r="G73" s="3193" t="s">
        <v>3035</v>
      </c>
      <c r="H73" s="3193" t="s">
        <v>3125</v>
      </c>
      <c r="I73" s="3193">
        <v>458.16</v>
      </c>
      <c r="J73" s="3193">
        <v>796.79</v>
      </c>
      <c r="K73" s="3193">
        <v>1714.28</v>
      </c>
      <c r="L73" s="3193">
        <v>73.91</v>
      </c>
      <c r="M73" s="3193" t="s">
        <v>3077</v>
      </c>
      <c r="N73" s="3193" t="s">
        <v>3038</v>
      </c>
    </row>
    <row r="74" spans="1:15">
      <c r="A74" s="3193" t="s">
        <v>3131</v>
      </c>
      <c r="B74" s="3193" t="s">
        <v>3032</v>
      </c>
      <c r="C74" s="3193" t="s">
        <v>3033</v>
      </c>
      <c r="D74" s="3193">
        <v>46668</v>
      </c>
      <c r="E74" s="3193">
        <v>93336</v>
      </c>
      <c r="F74" s="3193" t="s">
        <v>3039</v>
      </c>
      <c r="G74" s="3193" t="s">
        <v>3035</v>
      </c>
      <c r="H74" s="3193" t="s">
        <v>3125</v>
      </c>
      <c r="I74" s="3193">
        <v>5427.48</v>
      </c>
      <c r="J74" s="3193">
        <v>28954.2</v>
      </c>
      <c r="K74" s="3193">
        <v>3102.15</v>
      </c>
      <c r="L74" s="3193">
        <v>433.47</v>
      </c>
      <c r="M74" s="3193" t="s">
        <v>3077</v>
      </c>
      <c r="N74" s="3193" t="s">
        <v>3038</v>
      </c>
    </row>
    <row r="75" spans="1:15">
      <c r="A75" s="3193" t="s">
        <v>3121</v>
      </c>
      <c r="B75" s="3193" t="s">
        <v>3032</v>
      </c>
      <c r="C75" s="3193" t="s">
        <v>3033</v>
      </c>
      <c r="D75" s="3193">
        <v>51474</v>
      </c>
      <c r="E75" s="3193">
        <v>77211</v>
      </c>
      <c r="F75" s="3193" t="s">
        <v>3079</v>
      </c>
      <c r="G75" s="3193" t="s">
        <v>3035</v>
      </c>
      <c r="H75" s="3193" t="s">
        <v>3132</v>
      </c>
      <c r="I75" s="3193" t="s">
        <v>2816</v>
      </c>
      <c r="J75" s="3193">
        <v>4941.63</v>
      </c>
      <c r="K75" s="3193">
        <v>640.01</v>
      </c>
      <c r="L75" s="3193" t="s">
        <v>2816</v>
      </c>
      <c r="M75" s="3193" t="s">
        <v>3071</v>
      </c>
      <c r="N75" s="3193" t="s">
        <v>3038</v>
      </c>
    </row>
    <row r="76" spans="1:15">
      <c r="A76" s="3193" t="s">
        <v>3133</v>
      </c>
      <c r="B76" s="3193" t="s">
        <v>3032</v>
      </c>
      <c r="C76" s="3193" t="s">
        <v>3033</v>
      </c>
      <c r="D76" s="3193">
        <v>18815</v>
      </c>
      <c r="E76" s="3193">
        <v>28222.5</v>
      </c>
      <c r="F76" s="3193" t="s">
        <v>3070</v>
      </c>
      <c r="G76" s="3193" t="s">
        <v>3035</v>
      </c>
      <c r="H76" s="3193" t="s">
        <v>3134</v>
      </c>
      <c r="I76" s="3193">
        <v>1411.13</v>
      </c>
      <c r="J76" s="3193">
        <v>1425.25</v>
      </c>
      <c r="K76" s="3193">
        <v>505</v>
      </c>
      <c r="L76" s="3193">
        <v>1</v>
      </c>
      <c r="M76" s="3193" t="s">
        <v>3117</v>
      </c>
      <c r="N76" s="3193" t="s">
        <v>3038</v>
      </c>
    </row>
    <row r="77" spans="1:15">
      <c r="A77" s="3193" t="s">
        <v>3135</v>
      </c>
      <c r="B77" s="3193" t="s">
        <v>3032</v>
      </c>
      <c r="C77" s="3193" t="s">
        <v>3033</v>
      </c>
      <c r="D77" s="3193">
        <v>2086</v>
      </c>
      <c r="E77" s="3193">
        <v>3129</v>
      </c>
      <c r="F77" s="3193" t="s">
        <v>3079</v>
      </c>
      <c r="G77" s="3193" t="s">
        <v>3035</v>
      </c>
      <c r="H77" s="3193" t="s">
        <v>3136</v>
      </c>
      <c r="I77" s="3193">
        <v>287.87</v>
      </c>
      <c r="J77" s="3193">
        <v>287.87</v>
      </c>
      <c r="K77" s="3193">
        <v>920</v>
      </c>
      <c r="L77" s="3193">
        <v>0</v>
      </c>
      <c r="M77" s="3193" t="s">
        <v>3091</v>
      </c>
      <c r="N77" s="3193" t="s">
        <v>3038</v>
      </c>
    </row>
    <row r="78" spans="1:15" s="3201" customFormat="1">
      <c r="A78" s="3206" t="s">
        <v>3232</v>
      </c>
      <c r="B78" s="3206" t="s">
        <v>3032</v>
      </c>
      <c r="C78" s="3206" t="s">
        <v>3033</v>
      </c>
      <c r="D78" s="3206">
        <v>16354</v>
      </c>
      <c r="E78" s="3206">
        <v>24531</v>
      </c>
      <c r="F78" s="3206" t="s">
        <v>3079</v>
      </c>
      <c r="G78" s="3206" t="s">
        <v>3035</v>
      </c>
      <c r="H78" s="3206" t="s">
        <v>3136</v>
      </c>
      <c r="I78" s="3206">
        <v>2256.86</v>
      </c>
      <c r="J78" s="3206">
        <v>2256.86</v>
      </c>
      <c r="K78" s="3206">
        <v>920</v>
      </c>
      <c r="L78" s="3206">
        <v>0</v>
      </c>
      <c r="M78" s="3206" t="s">
        <v>3091</v>
      </c>
      <c r="N78" s="3206" t="s">
        <v>3038</v>
      </c>
      <c r="O78" s="3200"/>
    </row>
    <row r="79" spans="1:15">
      <c r="A79" s="3193" t="s">
        <v>3137</v>
      </c>
      <c r="B79" s="3193" t="s">
        <v>3032</v>
      </c>
      <c r="C79" s="3193" t="s">
        <v>3033</v>
      </c>
      <c r="D79" s="3193">
        <v>53448</v>
      </c>
      <c r="E79" s="3193">
        <v>106896</v>
      </c>
      <c r="F79" s="3193" t="s">
        <v>3082</v>
      </c>
      <c r="G79" s="3193" t="s">
        <v>3035</v>
      </c>
      <c r="H79" s="3193" t="s">
        <v>3136</v>
      </c>
      <c r="I79" s="3193">
        <v>4008.59</v>
      </c>
      <c r="J79" s="3193">
        <v>18080.18</v>
      </c>
      <c r="K79" s="3193">
        <v>1691.38</v>
      </c>
      <c r="L79" s="3193">
        <v>351.04</v>
      </c>
      <c r="M79" s="3193" t="s">
        <v>3138</v>
      </c>
      <c r="N79" s="3193" t="s">
        <v>3038</v>
      </c>
    </row>
    <row r="80" spans="1:15">
      <c r="A80" s="3193" t="s">
        <v>3092</v>
      </c>
      <c r="B80" s="3193" t="s">
        <v>3032</v>
      </c>
      <c r="C80" s="3193" t="s">
        <v>3033</v>
      </c>
      <c r="D80" s="3193">
        <v>4494</v>
      </c>
      <c r="E80" s="3193">
        <v>5392.8</v>
      </c>
      <c r="F80" s="3193" t="s">
        <v>3034</v>
      </c>
      <c r="G80" s="3193" t="s">
        <v>3035</v>
      </c>
      <c r="H80" s="3193" t="s">
        <v>3139</v>
      </c>
      <c r="I80" s="3193">
        <v>593.21</v>
      </c>
      <c r="J80" s="3193">
        <v>812.9</v>
      </c>
      <c r="K80" s="3193">
        <v>1507.4</v>
      </c>
      <c r="L80" s="3193">
        <v>37.04</v>
      </c>
      <c r="M80" s="3193" t="s">
        <v>3037</v>
      </c>
      <c r="N80" s="3193" t="s">
        <v>3038</v>
      </c>
    </row>
    <row r="81" spans="1:15">
      <c r="A81" s="3193" t="s">
        <v>3140</v>
      </c>
      <c r="B81" s="3193" t="s">
        <v>3032</v>
      </c>
      <c r="C81" s="3193" t="s">
        <v>3033</v>
      </c>
      <c r="D81" s="3193">
        <v>24416</v>
      </c>
      <c r="E81" s="3193">
        <v>39065.599999999999</v>
      </c>
      <c r="F81" s="3193" t="s">
        <v>3141</v>
      </c>
      <c r="G81" s="3193" t="s">
        <v>3035</v>
      </c>
      <c r="H81" s="3193" t="s">
        <v>3139</v>
      </c>
      <c r="I81" s="3193">
        <v>1831.2</v>
      </c>
      <c r="J81" s="3193">
        <v>2765.51</v>
      </c>
      <c r="K81" s="3193">
        <v>707.91</v>
      </c>
      <c r="L81" s="3193">
        <v>51.02</v>
      </c>
      <c r="M81" s="3193" t="s">
        <v>3142</v>
      </c>
      <c r="N81" s="3193" t="s">
        <v>3038</v>
      </c>
    </row>
    <row r="82" spans="1:15">
      <c r="A82" s="3193" t="s">
        <v>3143</v>
      </c>
      <c r="B82" s="3193" t="s">
        <v>3032</v>
      </c>
      <c r="C82" s="3193" t="s">
        <v>3033</v>
      </c>
      <c r="D82" s="3193">
        <v>40105</v>
      </c>
      <c r="E82" s="3193">
        <v>56147</v>
      </c>
      <c r="F82" s="3193" t="s">
        <v>3062</v>
      </c>
      <c r="G82" s="3193" t="s">
        <v>3035</v>
      </c>
      <c r="H82" s="3193" t="s">
        <v>3139</v>
      </c>
      <c r="I82" s="3193">
        <v>3007.88</v>
      </c>
      <c r="J82" s="3193">
        <v>3007.88</v>
      </c>
      <c r="K82" s="3193">
        <v>535.72</v>
      </c>
      <c r="L82" s="3193">
        <v>0</v>
      </c>
      <c r="M82" s="3193" t="s">
        <v>3091</v>
      </c>
      <c r="N82" s="3193" t="s">
        <v>3038</v>
      </c>
    </row>
    <row r="83" spans="1:15">
      <c r="A83" s="3193" t="s">
        <v>3144</v>
      </c>
      <c r="B83" s="3193" t="s">
        <v>3032</v>
      </c>
      <c r="C83" s="3193" t="s">
        <v>3033</v>
      </c>
      <c r="D83" s="3193">
        <v>399</v>
      </c>
      <c r="E83" s="3193">
        <v>598.5</v>
      </c>
      <c r="F83" s="3193" t="s">
        <v>3070</v>
      </c>
      <c r="G83" s="3193" t="s">
        <v>3035</v>
      </c>
      <c r="H83" s="3193" t="s">
        <v>3145</v>
      </c>
      <c r="I83" s="3193">
        <v>23.94</v>
      </c>
      <c r="J83" s="3193">
        <v>27.23</v>
      </c>
      <c r="K83" s="3193">
        <v>455.13</v>
      </c>
      <c r="L83" s="3193">
        <v>13.78</v>
      </c>
      <c r="M83" s="3193" t="s">
        <v>3071</v>
      </c>
      <c r="N83" s="3193" t="s">
        <v>3038</v>
      </c>
    </row>
    <row r="84" spans="1:15">
      <c r="A84" s="3193" t="s">
        <v>3146</v>
      </c>
      <c r="B84" s="3193" t="s">
        <v>3032</v>
      </c>
      <c r="C84" s="3193" t="s">
        <v>3033</v>
      </c>
      <c r="D84" s="3193">
        <v>236</v>
      </c>
      <c r="E84" s="3193">
        <v>330.4</v>
      </c>
      <c r="F84" s="3193" t="s">
        <v>3062</v>
      </c>
      <c r="G84" s="3193" t="s">
        <v>3035</v>
      </c>
      <c r="H84" s="3193" t="s">
        <v>3147</v>
      </c>
      <c r="I84" s="3193">
        <v>17.690000000000001</v>
      </c>
      <c r="J84" s="3193">
        <v>26.33</v>
      </c>
      <c r="K84" s="3193">
        <v>797.22</v>
      </c>
      <c r="L84" s="3193">
        <v>48.81</v>
      </c>
      <c r="M84" s="3193" t="s">
        <v>3148</v>
      </c>
      <c r="N84" s="3193" t="s">
        <v>3038</v>
      </c>
    </row>
    <row r="85" spans="1:15">
      <c r="A85" s="3193" t="s">
        <v>3149</v>
      </c>
      <c r="B85" s="3193" t="s">
        <v>3032</v>
      </c>
      <c r="C85" s="3193" t="s">
        <v>3033</v>
      </c>
      <c r="D85" s="3193">
        <v>6351</v>
      </c>
      <c r="E85" s="3193">
        <v>11431.8</v>
      </c>
      <c r="F85" s="3193" t="s">
        <v>3043</v>
      </c>
      <c r="G85" s="3193" t="s">
        <v>3035</v>
      </c>
      <c r="H85" s="3193" t="s">
        <v>3147</v>
      </c>
      <c r="I85" s="3193">
        <v>876.44</v>
      </c>
      <c r="J85" s="3193">
        <v>876.44</v>
      </c>
      <c r="K85" s="3193">
        <v>766.66</v>
      </c>
      <c r="L85" s="3193">
        <v>0</v>
      </c>
      <c r="M85" s="3193" t="s">
        <v>3091</v>
      </c>
      <c r="N85" s="3193" t="s">
        <v>3038</v>
      </c>
    </row>
    <row r="86" spans="1:15">
      <c r="A86" s="3193" t="s">
        <v>3150</v>
      </c>
      <c r="B86" s="3193" t="s">
        <v>3032</v>
      </c>
      <c r="C86" s="3193" t="s">
        <v>3033</v>
      </c>
      <c r="D86" s="3193">
        <v>2593</v>
      </c>
      <c r="E86" s="3193">
        <v>5186</v>
      </c>
      <c r="F86" s="3193" t="s">
        <v>3151</v>
      </c>
      <c r="G86" s="3193" t="s">
        <v>3035</v>
      </c>
      <c r="H86" s="3193" t="s">
        <v>3147</v>
      </c>
      <c r="I86" s="3193">
        <v>282.89</v>
      </c>
      <c r="J86" s="3193">
        <v>429.14</v>
      </c>
      <c r="K86" s="3193">
        <v>827.51</v>
      </c>
      <c r="L86" s="3193">
        <v>51.7</v>
      </c>
      <c r="M86" s="3193" t="s">
        <v>3152</v>
      </c>
      <c r="N86" s="3193" t="s">
        <v>3038</v>
      </c>
    </row>
    <row r="87" spans="1:15">
      <c r="A87" s="3193" t="s">
        <v>3166</v>
      </c>
      <c r="B87" s="3193" t="s">
        <v>3032</v>
      </c>
      <c r="C87" s="3193" t="s">
        <v>3033</v>
      </c>
      <c r="D87" s="3193">
        <v>1866</v>
      </c>
      <c r="E87" s="3193">
        <v>2985.6</v>
      </c>
      <c r="F87" s="3193" t="s">
        <v>3141</v>
      </c>
      <c r="G87" s="3193" t="s">
        <v>3035</v>
      </c>
      <c r="H87" s="3193" t="s">
        <v>3147</v>
      </c>
      <c r="I87" s="3193">
        <v>293.89</v>
      </c>
      <c r="J87" s="3193">
        <v>309.3</v>
      </c>
      <c r="K87" s="3193">
        <v>1035.97</v>
      </c>
      <c r="L87" s="3193">
        <v>5.24</v>
      </c>
      <c r="M87" s="3193" t="s">
        <v>3153</v>
      </c>
      <c r="N87" s="3193" t="s">
        <v>3038</v>
      </c>
    </row>
    <row r="88" spans="1:15">
      <c r="A88" s="3193" t="s">
        <v>3146</v>
      </c>
      <c r="B88" s="3193" t="s">
        <v>3032</v>
      </c>
      <c r="C88" s="3193" t="s">
        <v>3033</v>
      </c>
      <c r="D88" s="3193">
        <v>393</v>
      </c>
      <c r="E88" s="3193">
        <v>550.20000000000005</v>
      </c>
      <c r="F88" s="3193" t="s">
        <v>3062</v>
      </c>
      <c r="G88" s="3193" t="s">
        <v>3035</v>
      </c>
      <c r="H88" s="3193" t="s">
        <v>3147</v>
      </c>
      <c r="I88" s="3193">
        <v>29.48</v>
      </c>
      <c r="J88" s="3193">
        <v>44.47</v>
      </c>
      <c r="K88" s="3193">
        <v>808.42</v>
      </c>
      <c r="L88" s="3193">
        <v>50.88</v>
      </c>
      <c r="M88" s="3193" t="s">
        <v>3087</v>
      </c>
      <c r="N88" s="3193" t="s">
        <v>3038</v>
      </c>
    </row>
    <row r="89" spans="1:15">
      <c r="A89" s="3193" t="s">
        <v>3146</v>
      </c>
      <c r="B89" s="3193" t="s">
        <v>3032</v>
      </c>
      <c r="C89" s="3193" t="s">
        <v>3033</v>
      </c>
      <c r="D89" s="3193">
        <v>2375</v>
      </c>
      <c r="E89" s="3193">
        <v>3325</v>
      </c>
      <c r="F89" s="3193" t="s">
        <v>3062</v>
      </c>
      <c r="G89" s="3193" t="s">
        <v>3035</v>
      </c>
      <c r="H89" s="3193" t="s">
        <v>3147</v>
      </c>
      <c r="I89" s="3193">
        <v>178.12</v>
      </c>
      <c r="J89" s="3193">
        <v>269.42</v>
      </c>
      <c r="K89" s="3193">
        <v>810.28</v>
      </c>
      <c r="L89" s="3193">
        <v>51.25</v>
      </c>
      <c r="M89" s="3193" t="s">
        <v>3087</v>
      </c>
      <c r="N89" s="3193" t="s">
        <v>3038</v>
      </c>
    </row>
    <row r="90" spans="1:15">
      <c r="A90" s="3193" t="s">
        <v>3146</v>
      </c>
      <c r="B90" s="3193" t="s">
        <v>3032</v>
      </c>
      <c r="C90" s="3193" t="s">
        <v>3033</v>
      </c>
      <c r="D90" s="3193">
        <v>5342</v>
      </c>
      <c r="E90" s="3193">
        <v>7478.8</v>
      </c>
      <c r="F90" s="3193" t="s">
        <v>3062</v>
      </c>
      <c r="G90" s="3193" t="s">
        <v>3035</v>
      </c>
      <c r="H90" s="3193" t="s">
        <v>3147</v>
      </c>
      <c r="I90" s="3193">
        <v>400.64</v>
      </c>
      <c r="J90" s="3193">
        <v>605.15</v>
      </c>
      <c r="K90" s="3193">
        <v>809.16</v>
      </c>
      <c r="L90" s="3193">
        <v>51.04</v>
      </c>
      <c r="M90" s="3193" t="s">
        <v>3087</v>
      </c>
      <c r="N90" s="3193" t="s">
        <v>3038</v>
      </c>
    </row>
    <row r="91" spans="1:15">
      <c r="A91" s="3193" t="s">
        <v>3154</v>
      </c>
      <c r="B91" s="3193" t="s">
        <v>3032</v>
      </c>
      <c r="C91" s="3193" t="s">
        <v>3033</v>
      </c>
      <c r="D91" s="3193">
        <v>4480</v>
      </c>
      <c r="E91" s="3193">
        <v>8512</v>
      </c>
      <c r="F91" s="3193" t="s">
        <v>3155</v>
      </c>
      <c r="G91" s="3193" t="s">
        <v>3035</v>
      </c>
      <c r="H91" s="3193" t="s">
        <v>3147</v>
      </c>
      <c r="I91" s="3193" t="s">
        <v>2816</v>
      </c>
      <c r="J91" s="3193">
        <v>3623.19</v>
      </c>
      <c r="K91" s="3193">
        <v>4256.57</v>
      </c>
      <c r="L91" s="3193" t="s">
        <v>2816</v>
      </c>
      <c r="M91" s="3193" t="s">
        <v>3059</v>
      </c>
      <c r="N91" s="3193" t="s">
        <v>3038</v>
      </c>
    </row>
    <row r="92" spans="1:15">
      <c r="A92" s="3193" t="s">
        <v>3146</v>
      </c>
      <c r="B92" s="3193" t="s">
        <v>3032</v>
      </c>
      <c r="C92" s="3193" t="s">
        <v>3033</v>
      </c>
      <c r="D92" s="3193">
        <v>2512</v>
      </c>
      <c r="E92" s="3193">
        <v>3516.8</v>
      </c>
      <c r="F92" s="3193" t="s">
        <v>3062</v>
      </c>
      <c r="G92" s="3193" t="s">
        <v>3035</v>
      </c>
      <c r="H92" s="3193" t="s">
        <v>3147</v>
      </c>
      <c r="I92" s="3193">
        <v>188.4</v>
      </c>
      <c r="J92" s="3193">
        <v>282.89</v>
      </c>
      <c r="K92" s="3193">
        <v>804.41</v>
      </c>
      <c r="L92" s="3193">
        <v>50.16</v>
      </c>
      <c r="M92" s="3193" t="s">
        <v>3148</v>
      </c>
      <c r="N92" s="3193" t="s">
        <v>3038</v>
      </c>
    </row>
    <row r="93" spans="1:15">
      <c r="A93" s="3193" t="s">
        <v>3127</v>
      </c>
      <c r="B93" s="3193" t="s">
        <v>3032</v>
      </c>
      <c r="C93" s="3193" t="s">
        <v>3033</v>
      </c>
      <c r="D93" s="3193">
        <v>68868</v>
      </c>
      <c r="E93" s="3193">
        <v>75754.8</v>
      </c>
      <c r="F93" s="3193" t="s">
        <v>3073</v>
      </c>
      <c r="G93" s="3193" t="s">
        <v>3035</v>
      </c>
      <c r="H93" s="3193" t="s">
        <v>3156</v>
      </c>
      <c r="I93" s="3193">
        <v>5165.1000000000004</v>
      </c>
      <c r="J93" s="3193">
        <v>5268.42</v>
      </c>
      <c r="K93" s="3193">
        <v>695.46</v>
      </c>
      <c r="L93" s="3193">
        <v>2</v>
      </c>
      <c r="M93" s="3193" t="s">
        <v>3128</v>
      </c>
      <c r="N93" s="3193" t="s">
        <v>3038</v>
      </c>
    </row>
    <row r="94" spans="1:15" s="3204" customFormat="1">
      <c r="A94" s="3205" t="s">
        <v>3157</v>
      </c>
      <c r="B94" s="3205" t="s">
        <v>3032</v>
      </c>
      <c r="C94" s="3205" t="s">
        <v>3033</v>
      </c>
      <c r="D94" s="3205">
        <v>9989</v>
      </c>
      <c r="E94" s="3205">
        <v>14983.5</v>
      </c>
      <c r="F94" s="3205" t="s">
        <v>3079</v>
      </c>
      <c r="G94" s="3205" t="s">
        <v>3035</v>
      </c>
      <c r="H94" s="3205" t="s">
        <v>3156</v>
      </c>
      <c r="I94" s="3205">
        <v>1348.51</v>
      </c>
      <c r="J94" s="3205">
        <v>1573.51</v>
      </c>
      <c r="K94" s="3205">
        <v>1050.17</v>
      </c>
      <c r="L94" s="3205">
        <v>16.68</v>
      </c>
      <c r="M94" s="3205" t="s">
        <v>3047</v>
      </c>
      <c r="N94" s="3205" t="s">
        <v>3038</v>
      </c>
      <c r="O94" s="3203"/>
    </row>
    <row r="95" spans="1:15">
      <c r="A95" s="3193" t="s">
        <v>3158</v>
      </c>
      <c r="B95" s="3193" t="s">
        <v>3032</v>
      </c>
      <c r="C95" s="3193" t="s">
        <v>3033</v>
      </c>
      <c r="D95" s="3193">
        <v>12799</v>
      </c>
      <c r="E95" s="3193">
        <v>16638.7</v>
      </c>
      <c r="F95" s="3193" t="s">
        <v>3159</v>
      </c>
      <c r="G95" s="3193" t="s">
        <v>3035</v>
      </c>
      <c r="H95" s="3193" t="s">
        <v>3156</v>
      </c>
      <c r="I95" s="3193">
        <v>1237.67</v>
      </c>
      <c r="J95" s="3193">
        <v>2024.86</v>
      </c>
      <c r="K95" s="3193">
        <v>1216.96</v>
      </c>
      <c r="L95" s="3193">
        <v>63.6</v>
      </c>
      <c r="M95" s="3193" t="s">
        <v>3148</v>
      </c>
      <c r="N95" s="3193" t="s">
        <v>3038</v>
      </c>
    </row>
    <row r="96" spans="1:15">
      <c r="A96" s="3193" t="s">
        <v>3160</v>
      </c>
      <c r="B96" s="3193" t="s">
        <v>3032</v>
      </c>
      <c r="C96" s="3193" t="s">
        <v>3033</v>
      </c>
      <c r="D96" s="3193">
        <v>3316</v>
      </c>
      <c r="E96" s="3193">
        <v>6632</v>
      </c>
      <c r="F96" s="3193" t="s">
        <v>3039</v>
      </c>
      <c r="G96" s="3193" t="s">
        <v>3035</v>
      </c>
      <c r="H96" s="3193" t="s">
        <v>3161</v>
      </c>
      <c r="I96" s="3193">
        <v>320.99</v>
      </c>
      <c r="J96" s="3193">
        <v>597.37</v>
      </c>
      <c r="K96" s="3193">
        <v>900.75</v>
      </c>
      <c r="L96" s="3193">
        <v>86.11</v>
      </c>
      <c r="M96" s="3193" t="s">
        <v>3044</v>
      </c>
      <c r="N96" s="3193" t="s">
        <v>3038</v>
      </c>
    </row>
    <row r="97" spans="1:15" s="3204" customFormat="1">
      <c r="A97" s="3205" t="s">
        <v>3230</v>
      </c>
      <c r="B97" s="3205" t="s">
        <v>3032</v>
      </c>
      <c r="C97" s="3205" t="s">
        <v>3033</v>
      </c>
      <c r="D97" s="3205">
        <v>38231</v>
      </c>
      <c r="E97" s="3205">
        <v>45877.2</v>
      </c>
      <c r="F97" s="3205" t="s">
        <v>3034</v>
      </c>
      <c r="G97" s="3205" t="s">
        <v>3035</v>
      </c>
      <c r="H97" s="3205" t="s">
        <v>3161</v>
      </c>
      <c r="I97" s="3205">
        <v>2611.17</v>
      </c>
      <c r="J97" s="3205">
        <v>5163.6899999999996</v>
      </c>
      <c r="K97" s="3205">
        <v>1125.54</v>
      </c>
      <c r="L97" s="3205">
        <v>97.75</v>
      </c>
      <c r="M97" s="3205" t="s">
        <v>3153</v>
      </c>
      <c r="N97" s="3205" t="s">
        <v>3038</v>
      </c>
      <c r="O97" s="3203"/>
    </row>
    <row r="98" spans="1:15">
      <c r="A98" s="3193" t="s">
        <v>3162</v>
      </c>
      <c r="B98" s="3193" t="s">
        <v>3032</v>
      </c>
      <c r="C98" s="3193" t="s">
        <v>3033</v>
      </c>
      <c r="D98" s="3193">
        <v>8217</v>
      </c>
      <c r="E98" s="3193">
        <v>9860.4</v>
      </c>
      <c r="F98" s="3193" t="s">
        <v>3034</v>
      </c>
      <c r="G98" s="3193" t="s">
        <v>3035</v>
      </c>
      <c r="H98" s="3193" t="s">
        <v>3161</v>
      </c>
      <c r="I98" s="3193">
        <v>554.64</v>
      </c>
      <c r="J98" s="3193">
        <v>1109.95</v>
      </c>
      <c r="K98" s="3193">
        <v>1125.6600000000001</v>
      </c>
      <c r="L98" s="3193">
        <v>100.12</v>
      </c>
      <c r="M98" s="3193" t="s">
        <v>3153</v>
      </c>
      <c r="N98" s="3193" t="s">
        <v>3038</v>
      </c>
    </row>
    <row r="99" spans="1:15">
      <c r="A99" s="3193" t="s">
        <v>3163</v>
      </c>
      <c r="B99" s="3193" t="s">
        <v>3032</v>
      </c>
      <c r="C99" s="3193" t="s">
        <v>3033</v>
      </c>
      <c r="D99" s="3193">
        <v>20023</v>
      </c>
      <c r="E99" s="3193">
        <v>30034.5</v>
      </c>
      <c r="F99" s="3193" t="s">
        <v>3070</v>
      </c>
      <c r="G99" s="3193" t="s">
        <v>3035</v>
      </c>
      <c r="H99" s="3193" t="s">
        <v>3164</v>
      </c>
      <c r="I99" s="3193">
        <v>1201.3800000000001</v>
      </c>
      <c r="J99" s="3193">
        <v>1351.57</v>
      </c>
      <c r="K99" s="3193">
        <v>450</v>
      </c>
      <c r="L99" s="3193">
        <v>12.5</v>
      </c>
      <c r="M99" s="3193" t="s">
        <v>3071</v>
      </c>
      <c r="N99" s="3193" t="s">
        <v>3038</v>
      </c>
    </row>
    <row r="100" spans="1:15">
      <c r="A100" s="3193" t="s">
        <v>3165</v>
      </c>
      <c r="B100" s="3193" t="s">
        <v>3032</v>
      </c>
      <c r="C100" s="3193" t="s">
        <v>3033</v>
      </c>
      <c r="D100" s="3193">
        <v>13630</v>
      </c>
      <c r="E100" s="3193">
        <v>19082</v>
      </c>
      <c r="F100" s="3193" t="s">
        <v>3062</v>
      </c>
      <c r="G100" s="3193" t="s">
        <v>3035</v>
      </c>
      <c r="H100" s="3193" t="s">
        <v>3164</v>
      </c>
      <c r="I100" s="3193">
        <v>1840.04</v>
      </c>
      <c r="J100" s="3193">
        <v>3681.44</v>
      </c>
      <c r="K100" s="3193">
        <v>1929.27</v>
      </c>
      <c r="L100" s="3193">
        <v>100.07</v>
      </c>
      <c r="M100" s="3193" t="s">
        <v>3071</v>
      </c>
      <c r="N100" s="3193" t="s">
        <v>3038</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07" t="str">
        <f>项目基本情况!B1</f>
        <v>山东省潍坊市青州市胶王路北侧一宗商业、住宅用地出让国有建设用地使用权抵押价格预评估</v>
      </c>
      <c r="C37" s="3207"/>
      <c r="D37" s="3207"/>
      <c r="E37" s="3207"/>
      <c r="F37" s="3207"/>
      <c r="G37" s="3207"/>
      <c r="H37" s="3207"/>
      <c r="I37" s="3207"/>
    </row>
    <row r="38" spans="1:9">
      <c r="A38" s="1639"/>
      <c r="B38" s="1639"/>
    </row>
    <row r="39" spans="1:9">
      <c r="A39" s="1637" t="s">
        <v>1901</v>
      </c>
      <c r="B39" s="1637" t="s">
        <v>2045</v>
      </c>
    </row>
    <row r="40" spans="1:9">
      <c r="A40" s="1637"/>
      <c r="B40" s="1637" t="str">
        <f>项目基本情况!B5</f>
        <v>中粮信托有限责任公司</v>
      </c>
    </row>
    <row r="41" spans="1:9">
      <c r="A41" s="1637"/>
      <c r="B41" s="1637"/>
    </row>
    <row r="42" spans="1:9">
      <c r="A42" s="1637" t="s">
        <v>1901</v>
      </c>
      <c r="B42" s="1637" t="s">
        <v>2046</v>
      </c>
    </row>
    <row r="43" spans="1:9">
      <c r="A43" s="1637"/>
      <c r="B43" s="1637" t="s">
        <v>1903</v>
      </c>
    </row>
    <row r="44" spans="1:9">
      <c r="A44" s="1637"/>
      <c r="B44" s="1637"/>
    </row>
    <row r="45" spans="1:9">
      <c r="A45" s="1637" t="s">
        <v>1901</v>
      </c>
      <c r="B45" s="1637" t="s">
        <v>2044</v>
      </c>
    </row>
    <row r="46" spans="1:9" s="1637" customFormat="1" ht="12.75">
      <c r="B46" s="1637" t="str">
        <f>项目基本情况!K4</f>
        <v>王鹏、郑燚</v>
      </c>
    </row>
    <row r="47" spans="1:9">
      <c r="A47" s="1637"/>
      <c r="B47" s="1637"/>
    </row>
    <row r="48" spans="1:9">
      <c r="A48" s="1637" t="s">
        <v>1901</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2" sqref="O122"/>
    </sheetView>
  </sheetViews>
  <sheetFormatPr defaultRowHeight="13.5"/>
  <sheetData/>
  <phoneticPr fontId="228" type="noConversion"/>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0">
        <f>MATCH(B1,'数据-取费表'!A6:A16,0)+5</f>
        <v>8</v>
      </c>
    </row>
    <row r="2" spans="1:31" s="2024" customFormat="1" ht="18" customHeight="1">
      <c r="A2" s="2084" t="s">
        <v>467</v>
      </c>
      <c r="B2" s="2088">
        <f ca="1">C36</f>
        <v>70979</v>
      </c>
      <c r="C2" s="2087"/>
      <c r="D2" s="2087"/>
      <c r="E2" s="2087"/>
      <c r="F2" s="2087"/>
      <c r="G2" s="2087"/>
      <c r="H2" s="2087"/>
      <c r="I2" s="2087"/>
      <c r="J2" s="2087"/>
      <c r="K2" s="2087"/>
    </row>
    <row r="3" spans="1:31" s="2024" customFormat="1" ht="18" customHeight="1">
      <c r="A3" s="2089" t="s">
        <v>1684</v>
      </c>
      <c r="B3" s="2090">
        <f ca="1">ROUND(B2*10000/IF(B1="",'数据-汇总表'!E3,INDIRECT("'数据-取费表'!K"&amp;$K$1)),0)</f>
        <v>1008</v>
      </c>
      <c r="C3" s="2087"/>
      <c r="D3" s="2087"/>
      <c r="E3" s="2087"/>
      <c r="F3" s="2087"/>
      <c r="G3" s="2087"/>
      <c r="H3" s="2087"/>
      <c r="I3" s="2087"/>
      <c r="J3" s="2087"/>
      <c r="K3" s="2087"/>
    </row>
    <row r="4" spans="1:31" s="2024" customFormat="1" ht="18" customHeight="1">
      <c r="A4" s="424" t="s">
        <v>468</v>
      </c>
      <c r="B4" s="425">
        <f ca="1">ROUND(B2*10000/IF(B1="",'数据-汇总表'!D3,INDIRECT("'数据-取费表'!R"&amp;$K$1)),0)</f>
        <v>2217</v>
      </c>
      <c r="C4" s="426"/>
      <c r="D4" s="420"/>
      <c r="E4" s="420"/>
      <c r="F4" s="420"/>
      <c r="G4" s="420"/>
      <c r="H4" s="420"/>
      <c r="I4" s="420"/>
      <c r="J4" s="420"/>
      <c r="K4" s="420"/>
    </row>
    <row r="5" spans="1:31" s="2024" customFormat="1" ht="18" customHeight="1" thickBot="1">
      <c r="A5" s="427"/>
      <c r="B5" s="428">
        <f ca="1">ROUND(B2/(IF(B1="",'数据-汇总表'!D3,INDIRECT("'数据-取费表'!R"&amp;$K$1))/666.67),0)</f>
        <v>148</v>
      </c>
      <c r="C5" s="429" t="s">
        <v>469</v>
      </c>
      <c r="D5" s="420"/>
      <c r="E5" s="420"/>
      <c r="F5" s="420"/>
      <c r="G5" s="420"/>
      <c r="H5" s="420"/>
      <c r="I5" s="420"/>
      <c r="J5" s="420"/>
      <c r="K5" s="420"/>
    </row>
    <row r="6" spans="1:31" s="2094" customFormat="1" ht="16.5" customHeight="1">
      <c r="A6" s="2781" t="s">
        <v>1842</v>
      </c>
      <c r="B6" s="2782"/>
      <c r="C6" s="2783">
        <f ca="1">SUM(C10:K10)</f>
        <v>375906.67919200001</v>
      </c>
      <c r="D6" s="2782"/>
      <c r="E6" s="2782"/>
      <c r="F6" s="2782"/>
      <c r="G6" s="2782"/>
      <c r="H6" s="2782"/>
      <c r="I6" s="2782"/>
      <c r="J6" s="2782"/>
      <c r="K6" s="2784"/>
    </row>
    <row r="7" spans="1:31" s="2096" customFormat="1" ht="15">
      <c r="A7" s="2785" t="s">
        <v>470</v>
      </c>
      <c r="B7" s="2786" t="s">
        <v>471</v>
      </c>
      <c r="C7" s="434" t="s">
        <v>923</v>
      </c>
      <c r="D7" s="434" t="s">
        <v>2996</v>
      </c>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1845</v>
      </c>
      <c r="B8" s="259" t="s">
        <v>472</v>
      </c>
      <c r="C8" s="2787">
        <f>'不动产比较法-住宅'!B3</f>
        <v>5434</v>
      </c>
      <c r="D8" s="2787">
        <f ca="1">不动产收益法!B3</f>
        <v>5190</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1846</v>
      </c>
      <c r="B9" s="259" t="s">
        <v>473</v>
      </c>
      <c r="C9" s="439">
        <f>SUMIF('数据-汇总表'!$C19:$C33,'剩余法-待开发'!C7,'数据-汇总表'!$E19:$E33)</f>
        <v>422652.25199999998</v>
      </c>
      <c r="D9" s="439">
        <f>SUMIF('数据-汇总表'!$C19:$C33,'剩余法-待开发'!D7,'数据-汇总表'!$E19:$E33)</f>
        <v>281768.16800000001</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9">
        <f>'不动产比较法-住宅'!B2</f>
        <v>229669</v>
      </c>
      <c r="D10" s="2979">
        <f ca="1">D8*D9/10000</f>
        <v>146237.67919200001</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8">
        <f ca="1">IF(B1="",'数据-取费表'!P16,INDIRECT("'数据-取费表'!p"&amp;$K$1)+INDIRECT("'数据-取费表'!t"&amp;$K$1))</f>
        <v>146519</v>
      </c>
      <c r="D13" s="2797"/>
      <c r="E13" s="2798"/>
      <c r="F13" s="2799"/>
      <c r="G13" s="2765"/>
      <c r="H13" s="2766"/>
      <c r="I13" s="2766"/>
      <c r="J13" s="2766"/>
      <c r="K13" s="2767"/>
    </row>
    <row r="14" spans="1:31" s="2099" customFormat="1" ht="13.5" customHeight="1">
      <c r="A14" s="2795" t="s">
        <v>1849</v>
      </c>
      <c r="B14" s="2796" t="s">
        <v>480</v>
      </c>
      <c r="C14" s="53">
        <f ca="1">ROUND(C13*F14,0)</f>
        <v>7326</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8453</v>
      </c>
      <c r="D15" s="2797"/>
      <c r="E15" s="2798"/>
      <c r="F15" s="2800">
        <f>'数据-取费表'!B34</f>
        <v>0.1</v>
      </c>
      <c r="G15" s="2765" t="s">
        <v>483</v>
      </c>
      <c r="H15" s="2766"/>
      <c r="I15" s="2766"/>
      <c r="J15" s="2766"/>
      <c r="K15" s="2767"/>
    </row>
    <row r="16" spans="1:31" s="2100" customFormat="1" ht="13.5" customHeight="1">
      <c r="A16" s="2795" t="s">
        <v>1851</v>
      </c>
      <c r="B16" s="2796" t="s">
        <v>484</v>
      </c>
      <c r="C16" s="53">
        <f ca="1">ROUND(D16*E16/10000,0)</f>
        <v>14088</v>
      </c>
      <c r="D16" s="2797">
        <f ca="1">IF(B1="",'数据-汇总表'!E3,INDIRECT("'数据-取费表'!K"&amp;$K$1)+INDIRECT("'数据-取费表'!S"&amp;$K$1))</f>
        <v>704420.41999999993</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2198</v>
      </c>
      <c r="D17" s="473"/>
      <c r="E17" s="2801"/>
      <c r="F17" s="2802">
        <f>'数据-取费表'!B36</f>
        <v>1.4999999999999999E-2</v>
      </c>
      <c r="G17" s="259" t="s">
        <v>486</v>
      </c>
      <c r="H17" s="2768"/>
      <c r="I17" s="2768"/>
      <c r="J17" s="2768"/>
      <c r="K17" s="277"/>
    </row>
    <row r="18" spans="1:14" s="2099" customFormat="1" ht="13.5" customHeight="1">
      <c r="A18" s="2803" t="s">
        <v>1853</v>
      </c>
      <c r="B18" s="2804" t="s">
        <v>487</v>
      </c>
      <c r="C18" s="2805">
        <f ca="1">SUM(C13:C17)</f>
        <v>178584</v>
      </c>
      <c r="D18" s="2806"/>
      <c r="E18" s="466"/>
      <c r="F18" s="466"/>
      <c r="G18" s="2769" t="s">
        <v>2428</v>
      </c>
      <c r="H18" s="2770"/>
      <c r="I18" s="2770"/>
      <c r="J18" s="2770"/>
      <c r="K18" s="2771"/>
    </row>
    <row r="19" spans="1:14" s="2099" customFormat="1" ht="13.5" customHeight="1">
      <c r="A19" s="2803" t="s">
        <v>1854</v>
      </c>
      <c r="B19" s="2804" t="s">
        <v>488</v>
      </c>
      <c r="C19" s="2761">
        <f ca="1">ROUND(D19*E19/10000,0)</f>
        <v>0</v>
      </c>
      <c r="D19" s="2807">
        <f ca="1">D16</f>
        <v>704420.41999999993</v>
      </c>
      <c r="E19" s="2761">
        <f>'数据-取费表'!B32</f>
        <v>0</v>
      </c>
      <c r="F19" s="466"/>
      <c r="G19" s="2765" t="s">
        <v>489</v>
      </c>
      <c r="H19" s="2766"/>
      <c r="I19" s="2770"/>
      <c r="J19" s="2770"/>
      <c r="K19" s="2771"/>
    </row>
    <row r="20" spans="1:14" s="2099" customFormat="1" ht="13.5" customHeight="1">
      <c r="A20" s="2803" t="s">
        <v>1855</v>
      </c>
      <c r="B20" s="2804" t="s">
        <v>490</v>
      </c>
      <c r="C20" s="2761">
        <f ca="1">C21+C22-IF(B1="",'数据-取费表'!B29,IF(G20="已全部缴纳",C21+C22,H20))</f>
        <v>15286</v>
      </c>
      <c r="D20" s="2807"/>
      <c r="E20" s="2761"/>
      <c r="F20" s="2808"/>
      <c r="G20" s="3038"/>
      <c r="H20" s="2763"/>
      <c r="I20" s="2764" t="s">
        <v>2649</v>
      </c>
      <c r="J20" s="2770"/>
      <c r="K20" s="2771"/>
    </row>
    <row r="21" spans="1:14" s="2099" customFormat="1" ht="13.5" customHeight="1">
      <c r="A21" s="2795" t="s">
        <v>1856</v>
      </c>
      <c r="B21" s="2796" t="s">
        <v>491</v>
      </c>
      <c r="C21" s="53">
        <f ca="1">ROUND(D21*E21/10000,0)</f>
        <v>9172</v>
      </c>
      <c r="D21" s="2797">
        <f ca="1">IF(B1="",'数据-汇总表'!E5,IF(INDIRECT("'数据-取费表'!c"&amp;$K$1)="住宅",INDIRECT("'数据-取费表'!k"&amp;$K$1),0))</f>
        <v>422652.25199999998</v>
      </c>
      <c r="E21" s="53">
        <f>'数据-取费表'!B27</f>
        <v>217</v>
      </c>
      <c r="F21" s="2800"/>
      <c r="G21" s="26"/>
      <c r="H21" s="51"/>
      <c r="I21" s="51"/>
      <c r="J21" s="51"/>
      <c r="K21" s="2772"/>
    </row>
    <row r="22" spans="1:14" s="2099" customFormat="1" ht="13.5" customHeight="1">
      <c r="A22" s="2795" t="s">
        <v>1857</v>
      </c>
      <c r="B22" s="2796" t="s">
        <v>492</v>
      </c>
      <c r="C22" s="53">
        <f ca="1">ROUND(D22*E22/10000,0)</f>
        <v>6114</v>
      </c>
      <c r="D22" s="2797">
        <f ca="1">IF(B1="",'数据-汇总表'!E6,IF(INDIRECT("'数据-取费表'!c"&amp;$K$1)="住宅",INDIRECT("'数据-取费表'!s"&amp;$K$1),INDIRECT("'数据-取费表'!k"&amp;$K$1)+INDIRECT("'数据-取费表'!s"&amp;$K$1)))</f>
        <v>281768.16799999995</v>
      </c>
      <c r="E22" s="53">
        <f>'数据-取费表'!B28</f>
        <v>217</v>
      </c>
      <c r="F22" s="2800"/>
      <c r="G22" s="26"/>
      <c r="H22" s="51"/>
      <c r="I22" s="51"/>
      <c r="J22" s="51"/>
      <c r="K22" s="2772"/>
    </row>
    <row r="23" spans="1:14" s="2099" customFormat="1" ht="13.5" customHeight="1">
      <c r="A23" s="2803" t="s">
        <v>1858</v>
      </c>
      <c r="B23" s="2985" t="s">
        <v>2832</v>
      </c>
      <c r="C23" s="2805">
        <f ca="1">ROUND((C18+C19+C20)*F23,0)</f>
        <v>3877</v>
      </c>
      <c r="D23" s="466"/>
      <c r="E23" s="466"/>
      <c r="F23" s="2809">
        <f>'数据-取费表'!B37</f>
        <v>0.02</v>
      </c>
      <c r="G23" s="2765" t="s">
        <v>2429</v>
      </c>
      <c r="H23" s="2766"/>
      <c r="I23" s="2766"/>
      <c r="J23" s="2766"/>
      <c r="K23" s="2767"/>
      <c r="L23" s="2101"/>
      <c r="M23" s="2101"/>
      <c r="N23" s="2101"/>
    </row>
    <row r="24" spans="1:14" s="2099" customFormat="1" ht="13.5" customHeight="1">
      <c r="A24" s="2803" t="s">
        <v>1859</v>
      </c>
      <c r="B24" s="2985" t="s">
        <v>2835</v>
      </c>
      <c r="C24" s="2805">
        <f ca="1">ROUND(C6*F24,0)</f>
        <v>7518</v>
      </c>
      <c r="D24" s="473"/>
      <c r="E24" s="471"/>
      <c r="F24" s="2809">
        <f>'数据-取费表'!B38</f>
        <v>0.02</v>
      </c>
      <c r="G24" s="2774" t="s">
        <v>499</v>
      </c>
      <c r="H24" s="2768"/>
      <c r="I24" s="2768"/>
      <c r="J24" s="2768"/>
      <c r="K24" s="277"/>
      <c r="L24" s="2101"/>
      <c r="M24" s="2101"/>
      <c r="N24" s="2101"/>
    </row>
    <row r="25" spans="1:14" s="2102" customFormat="1" ht="13.5" customHeight="1">
      <c r="A25" s="2803" t="s">
        <v>1860</v>
      </c>
      <c r="B25" s="2985" t="s">
        <v>2833</v>
      </c>
      <c r="C25" s="465">
        <f>ROUND(F25/(1+'数据-取费表'!C42),4)</f>
        <v>2.9000000000000001E-2</v>
      </c>
      <c r="D25" s="460" t="s">
        <v>2827</v>
      </c>
      <c r="E25" s="467"/>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6" t="s">
        <v>2834</v>
      </c>
      <c r="C26" s="2810">
        <f ca="1">C28</f>
        <v>17365</v>
      </c>
      <c r="D26" s="465">
        <f ca="1">C27</f>
        <v>0.18149999999999999</v>
      </c>
      <c r="E26" s="467" t="s">
        <v>495</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1856</v>
      </c>
      <c r="B27" s="2811" t="s">
        <v>496</v>
      </c>
      <c r="C27" s="2812">
        <f ca="1">ROUND(IF('数据-取费表'!B22&lt;=1,(1+C25)*F26*'数据-取费表'!B24,(1+C25)*(POWER((1+F26),'数据-取费表'!B24)-1)),4)</f>
        <v>0.18149999999999999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1857</v>
      </c>
      <c r="B28" s="2811" t="s">
        <v>2836</v>
      </c>
      <c r="C28" s="2813">
        <f ca="1">ROUND(IF('数据-取费表'!B22&lt;=1,(C18+C19+C20+C23+C24)*F26*'数据-取费表'!B24/2,(C18+C19+C20+C23+C24)*(POWER((1+F26),'数据-取费表'!B24/2)-1)),0)</f>
        <v>17365</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1862</v>
      </c>
      <c r="B29" s="2804" t="s">
        <v>497</v>
      </c>
      <c r="C29" s="2805">
        <f ca="1">ROUND(C6*F29/(1+'数据-取费表'!C42),0)</f>
        <v>20048</v>
      </c>
      <c r="D29" s="466"/>
      <c r="E29" s="466"/>
      <c r="F29" s="2987">
        <f>'数据-取费表'!B41</f>
        <v>5.6000000000000001E-2</v>
      </c>
      <c r="G29" s="2774" t="s">
        <v>498</v>
      </c>
      <c r="H29" s="2766"/>
      <c r="I29" s="2766"/>
      <c r="J29" s="2766"/>
      <c r="K29" s="2767"/>
    </row>
    <row r="30" spans="1:14" s="2104" customFormat="1" ht="13.5" customHeight="1">
      <c r="A30" s="1618" t="s">
        <v>1863</v>
      </c>
      <c r="B30" s="2815" t="s">
        <v>500</v>
      </c>
      <c r="C30" s="2810">
        <f ca="1">C31</f>
        <v>242678</v>
      </c>
      <c r="D30" s="475">
        <f ca="1">C32</f>
        <v>0.21049999999999999</v>
      </c>
      <c r="E30" s="467" t="s">
        <v>495</v>
      </c>
      <c r="F30" s="469"/>
      <c r="G30" s="2773" t="s">
        <v>2969</v>
      </c>
      <c r="H30" s="2766"/>
      <c r="I30" s="2766"/>
      <c r="J30" s="2766"/>
      <c r="K30" s="2767"/>
    </row>
    <row r="31" spans="1:14" s="2103" customFormat="1" ht="13.5" customHeight="1">
      <c r="A31" s="801" t="s">
        <v>1856</v>
      </c>
      <c r="B31" s="2811"/>
      <c r="C31" s="448">
        <f ca="1">C18+C19+C20+C23+C24+C26+C29</f>
        <v>242678</v>
      </c>
      <c r="D31" s="470"/>
      <c r="E31" s="471"/>
      <c r="F31" s="472"/>
      <c r="G31" s="259"/>
      <c r="H31" s="2768"/>
      <c r="I31" s="2768"/>
      <c r="J31" s="2768"/>
      <c r="K31" s="277"/>
    </row>
    <row r="32" spans="1:14" s="2103" customFormat="1" ht="13.5" customHeight="1">
      <c r="A32" s="801" t="s">
        <v>1857</v>
      </c>
      <c r="B32" s="2811"/>
      <c r="C32" s="53">
        <f ca="1">ROUND(C25+D26,4)</f>
        <v>0.21049999999999999</v>
      </c>
      <c r="D32" s="470"/>
      <c r="E32" s="471"/>
      <c r="F32" s="472"/>
      <c r="G32" s="259"/>
      <c r="H32" s="2768"/>
      <c r="I32" s="2768"/>
      <c r="J32" s="2768"/>
      <c r="K32" s="277"/>
    </row>
    <row r="33" spans="1:11" s="2105" customFormat="1" ht="13.5" customHeight="1">
      <c r="A33" s="2984" t="s">
        <v>2831</v>
      </c>
      <c r="B33" s="2982" t="s">
        <v>2829</v>
      </c>
      <c r="C33" s="476">
        <f ca="1">C35</f>
        <v>34895</v>
      </c>
      <c r="D33" s="465">
        <f ca="1">C34</f>
        <v>0.1749</v>
      </c>
      <c r="E33" s="467" t="s">
        <v>495</v>
      </c>
      <c r="F33" s="477">
        <f ca="1">IF(B1="",'数据-取费表'!Q16,INDIRECT("'数据-取费表'!q"&amp;$K$1))</f>
        <v>0.17</v>
      </c>
      <c r="G33" s="2769"/>
      <c r="H33" s="2770"/>
      <c r="I33" s="2770"/>
      <c r="J33" s="2770"/>
      <c r="K33" s="2771"/>
    </row>
    <row r="34" spans="1:11" s="2106" customFormat="1" ht="13.5" customHeight="1">
      <c r="A34" s="373" t="s">
        <v>1856</v>
      </c>
      <c r="B34" s="2816" t="s">
        <v>501</v>
      </c>
      <c r="C34" s="470">
        <f ca="1">ROUND((1+C25)*F33,4)</f>
        <v>0.1749</v>
      </c>
      <c r="D34" s="470"/>
      <c r="E34" s="471"/>
      <c r="F34" s="478"/>
      <c r="G34" s="259" t="s">
        <v>2289</v>
      </c>
      <c r="H34" s="2768"/>
      <c r="I34" s="2768"/>
      <c r="J34" s="2768"/>
      <c r="K34" s="277"/>
    </row>
    <row r="35" spans="1:11" s="2106" customFormat="1" ht="13.5" customHeight="1" thickBot="1">
      <c r="A35" s="1619" t="s">
        <v>1857</v>
      </c>
      <c r="B35" s="2983" t="s">
        <v>2837</v>
      </c>
      <c r="C35" s="1611">
        <f ca="1">ROUND((C18+C19+C20+C23+C24)*F33,0)</f>
        <v>34895</v>
      </c>
      <c r="D35" s="1612"/>
      <c r="E35" s="2817"/>
      <c r="F35" s="1613"/>
      <c r="G35" s="2775"/>
      <c r="H35" s="2776"/>
      <c r="I35" s="2776"/>
      <c r="J35" s="2776"/>
      <c r="K35" s="2777"/>
    </row>
    <row r="36" spans="1:11" s="2068" customFormat="1" ht="13.5" customHeight="1" thickBot="1">
      <c r="A36" s="282" t="s">
        <v>1844</v>
      </c>
      <c r="B36" s="2779"/>
      <c r="C36" s="2818">
        <f ca="1">ROUND((C6-C30-C33)/(1+D30+D33),0)</f>
        <v>70979</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466</v>
      </c>
      <c r="B1" s="2762"/>
      <c r="C1" s="2087"/>
      <c r="D1" s="2087"/>
      <c r="E1" s="2087"/>
      <c r="F1" s="2087"/>
      <c r="G1" s="2087"/>
      <c r="H1" s="2087"/>
      <c r="I1" s="2087"/>
      <c r="J1" s="2087"/>
      <c r="K1" s="420">
        <f>MATCH(B1,'数据-取费表'!A6:A16,0)+5</f>
        <v>8</v>
      </c>
    </row>
    <row r="2" spans="1:41" s="2024" customFormat="1" ht="18" customHeight="1">
      <c r="A2" s="421" t="s">
        <v>467</v>
      </c>
      <c r="B2" s="422">
        <f ca="1">C32</f>
        <v>0</v>
      </c>
      <c r="C2" s="2087"/>
      <c r="D2" s="2087"/>
      <c r="E2" s="2087"/>
      <c r="F2" s="2087"/>
      <c r="G2" s="2087"/>
      <c r="H2" s="2087"/>
      <c r="I2" s="2087"/>
      <c r="J2" s="2087"/>
      <c r="K2" s="2087"/>
    </row>
    <row r="3" spans="1:41" s="2024" customFormat="1" ht="18" customHeight="1">
      <c r="A3" s="1373" t="s">
        <v>1684</v>
      </c>
      <c r="B3" s="423">
        <f ca="1">ROUND(B2*10000/IF(B1="",'数据-汇总表'!E3,INDIRECT("'数据-取费表'!K"&amp;$K$1)),0)</f>
        <v>0</v>
      </c>
      <c r="C3" s="2087"/>
      <c r="D3" s="2087"/>
      <c r="E3" s="2087"/>
      <c r="F3" s="2087"/>
      <c r="G3" s="2087"/>
      <c r="H3" s="2087"/>
      <c r="I3" s="2087"/>
      <c r="J3" s="2087"/>
      <c r="K3" s="2087"/>
    </row>
    <row r="4" spans="1:41" s="2024" customFormat="1" ht="18" customHeight="1">
      <c r="A4" s="424" t="s">
        <v>468</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469</v>
      </c>
      <c r="D5" s="2087"/>
      <c r="E5" s="2087"/>
      <c r="F5" s="2087"/>
      <c r="G5" s="2087"/>
      <c r="H5" s="2087"/>
      <c r="I5" s="2087"/>
      <c r="J5" s="2087"/>
      <c r="K5" s="2087"/>
    </row>
    <row r="6" spans="1:41" s="2094" customFormat="1" ht="16.5" customHeight="1">
      <c r="A6" s="430" t="s">
        <v>2650</v>
      </c>
      <c r="B6" s="431"/>
      <c r="C6" s="1606">
        <f>SUM(C10:K10)</f>
        <v>0</v>
      </c>
      <c r="D6" s="2092"/>
      <c r="E6" s="2092"/>
      <c r="F6" s="2092"/>
      <c r="G6" s="2092"/>
      <c r="H6" s="2092"/>
      <c r="I6" s="2092"/>
      <c r="J6" s="2092"/>
      <c r="K6" s="2093"/>
    </row>
    <row r="7" spans="1:41" s="2096" customFormat="1" ht="15">
      <c r="A7" s="432" t="s">
        <v>470</v>
      </c>
      <c r="B7" s="433" t="s">
        <v>471</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6" t="s">
        <v>472</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2" t="s">
        <v>470</v>
      </c>
      <c r="B12" s="442" t="s">
        <v>471</v>
      </c>
      <c r="C12" s="443" t="s">
        <v>475</v>
      </c>
      <c r="D12" s="444" t="s">
        <v>476</v>
      </c>
      <c r="E12" s="444" t="s">
        <v>477</v>
      </c>
      <c r="F12" s="444" t="s">
        <v>478</v>
      </c>
      <c r="G12" s="442"/>
      <c r="H12" s="445"/>
      <c r="I12" s="445"/>
      <c r="J12" s="445"/>
      <c r="K12" s="446"/>
    </row>
    <row r="13" spans="1:41" s="2099" customFormat="1" ht="13.5" customHeight="1">
      <c r="A13" s="1616" t="s">
        <v>1848</v>
      </c>
      <c r="B13" s="447" t="s">
        <v>479</v>
      </c>
      <c r="C13" s="448">
        <f ca="1">IF(B1="",'数据-取费表'!M16,INDIRECT("'数据-取费表'!M"&amp;$K$1)+INDIRECT("'数据-取费表'!t"&amp;$K$1))</f>
        <v>146519</v>
      </c>
      <c r="D13" s="449"/>
      <c r="E13" s="363"/>
      <c r="F13" s="450"/>
      <c r="G13" s="442"/>
      <c r="H13" s="445"/>
      <c r="I13" s="445"/>
      <c r="J13" s="445"/>
      <c r="K13" s="446"/>
    </row>
    <row r="14" spans="1:41" s="2099" customFormat="1" ht="13.5" customHeight="1">
      <c r="A14" s="1616" t="s">
        <v>1849</v>
      </c>
      <c r="B14" s="447" t="s">
        <v>480</v>
      </c>
      <c r="C14" s="53">
        <f ca="1">ROUND(C13*F14,0)</f>
        <v>7326</v>
      </c>
      <c r="D14" s="449"/>
      <c r="E14" s="363"/>
      <c r="F14" s="451">
        <f>'数据-取费表'!B33</f>
        <v>0.05</v>
      </c>
      <c r="G14" s="442" t="s">
        <v>502</v>
      </c>
      <c r="H14" s="445"/>
      <c r="I14" s="445"/>
      <c r="J14" s="445"/>
      <c r="K14" s="446"/>
    </row>
    <row r="15" spans="1:41" s="2099" customFormat="1" ht="13.5" customHeight="1">
      <c r="A15" s="1616" t="s">
        <v>1850</v>
      </c>
      <c r="B15" s="447" t="s">
        <v>482</v>
      </c>
      <c r="C15" s="53">
        <f ca="1">ROUND(IF(B1="",SUMIF('数据-取费表'!C:C,"住宅",'数据-取费表'!M:M)*F15,IF(INDIRECT("'数据-取费表'!c"&amp;$K$1)="住宅",INDIRECT("'数据-取费表'!M"&amp;$K$1)*F15,0)),0)</f>
        <v>8453</v>
      </c>
      <c r="D15" s="449"/>
      <c r="E15" s="363"/>
      <c r="F15" s="451">
        <f>'数据-取费表'!B34</f>
        <v>0.1</v>
      </c>
      <c r="G15" s="442" t="s">
        <v>502</v>
      </c>
      <c r="H15" s="445"/>
      <c r="I15" s="445"/>
      <c r="J15" s="445"/>
      <c r="K15" s="446"/>
    </row>
    <row r="16" spans="1:41" s="2100" customFormat="1" ht="13.5" customHeight="1">
      <c r="A16" s="1616" t="s">
        <v>1851</v>
      </c>
      <c r="B16" s="447" t="s">
        <v>484</v>
      </c>
      <c r="C16" s="53">
        <f ca="1">ROUND(D16*E16/10000,0)</f>
        <v>14088</v>
      </c>
      <c r="D16" s="449">
        <f ca="1">IF(B1="",'数据-汇总表'!E3,INDIRECT("'数据-取费表'!K"&amp;$K$1)+INDIRECT("'数据-取费表'!S"&amp;$K$1))</f>
        <v>704420.41999999993</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7" t="s">
        <v>485</v>
      </c>
      <c r="C17" s="452">
        <f ca="1">ROUND(C13*F17,0)</f>
        <v>2198</v>
      </c>
      <c r="D17" s="453"/>
      <c r="E17" s="452"/>
      <c r="F17" s="454">
        <f>'数据-取费表'!B36</f>
        <v>1.4999999999999999E-2</v>
      </c>
      <c r="G17" s="442" t="s">
        <v>502</v>
      </c>
      <c r="H17" s="455"/>
      <c r="I17" s="455"/>
      <c r="J17" s="455"/>
      <c r="K17" s="456"/>
    </row>
    <row r="18" spans="1:14" s="2102" customFormat="1" ht="13.5" customHeight="1">
      <c r="A18" s="1617" t="s">
        <v>1853</v>
      </c>
      <c r="B18" s="457" t="s">
        <v>487</v>
      </c>
      <c r="C18" s="458">
        <f ca="1">SUM(C13:C17)</f>
        <v>178584</v>
      </c>
      <c r="D18" s="459"/>
      <c r="E18" s="460"/>
      <c r="F18" s="460"/>
      <c r="G18" s="1320" t="s">
        <v>2430</v>
      </c>
      <c r="H18" s="445"/>
      <c r="I18" s="445"/>
      <c r="J18" s="445"/>
      <c r="K18" s="446"/>
    </row>
    <row r="19" spans="1:14" s="2102" customFormat="1" ht="13.5" customHeight="1">
      <c r="A19" s="1617" t="s">
        <v>1854</v>
      </c>
      <c r="B19" s="457" t="s">
        <v>493</v>
      </c>
      <c r="C19" s="458">
        <f ca="1">ROUND(C18*F19,0)</f>
        <v>3572</v>
      </c>
      <c r="D19" s="460"/>
      <c r="E19" s="460"/>
      <c r="F19" s="464">
        <f>'数据-取费表'!B37</f>
        <v>0.02</v>
      </c>
      <c r="G19" s="442" t="s">
        <v>503</v>
      </c>
      <c r="H19" s="445"/>
      <c r="I19" s="445"/>
      <c r="J19" s="445"/>
      <c r="K19" s="446"/>
      <c r="L19" s="2104"/>
      <c r="M19" s="2104"/>
      <c r="N19" s="2104"/>
    </row>
    <row r="20" spans="1:14" s="2102" customFormat="1" ht="13.5" customHeight="1">
      <c r="A20" s="1617" t="s">
        <v>1855</v>
      </c>
      <c r="B20" s="457" t="s">
        <v>504</v>
      </c>
      <c r="C20" s="2980">
        <f>F20</f>
        <v>0.02</v>
      </c>
      <c r="D20" s="467" t="s">
        <v>505</v>
      </c>
      <c r="E20" s="467"/>
      <c r="F20" s="484">
        <f>'数据-取费表'!B38</f>
        <v>0.02</v>
      </c>
      <c r="G20" s="1320" t="s">
        <v>506</v>
      </c>
      <c r="H20" s="445"/>
      <c r="I20" s="445"/>
      <c r="J20" s="445"/>
      <c r="K20" s="446"/>
      <c r="L20" s="2104"/>
      <c r="M20" s="2104"/>
      <c r="N20" s="2104"/>
    </row>
    <row r="21" spans="1:14" s="2104" customFormat="1" ht="13.5" customHeight="1">
      <c r="A21" s="1617" t="s">
        <v>1858</v>
      </c>
      <c r="B21" s="459" t="s">
        <v>494</v>
      </c>
      <c r="C21" s="468">
        <f ca="1">C22</f>
        <v>15410</v>
      </c>
      <c r="D21" s="465">
        <f ca="1">C23</f>
        <v>1.6999999999999999E-3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1" t="s">
        <v>2452</v>
      </c>
    </row>
    <row r="22" spans="1:14" s="2103" customFormat="1" ht="13.5" customHeight="1">
      <c r="A22" s="1616" t="s">
        <v>1848</v>
      </c>
      <c r="B22" s="1321" t="s">
        <v>2433</v>
      </c>
      <c r="C22" s="485">
        <f ca="1">ROUND(IF('数据-取费表'!B22&lt;=1,(C18+C19)*F21*'数据-取费表'!B20/2,(C18+C19)*(POWER((1+F21),'数据-取费表'!B20/2)-1)),0)</f>
        <v>15410</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1849</v>
      </c>
      <c r="B23" s="1321" t="s">
        <v>508</v>
      </c>
      <c r="C23" s="486">
        <f ca="1">ROUND(IF('数据-取费表'!B22&lt;=1,F20*F21*'数据-取费表'!B20/2,F20*(POWER((1+F21),'数据-取费表'!B20/2)-1)),4)</f>
        <v>1.6999999999999999E-3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1859</v>
      </c>
      <c r="B24" s="2982" t="s">
        <v>2830</v>
      </c>
      <c r="C24" s="476">
        <f ca="1">C25</f>
        <v>30967</v>
      </c>
      <c r="D24" s="487">
        <f ca="1">C26</f>
        <v>3.3999999999999998E-3</v>
      </c>
      <c r="E24" s="467" t="s">
        <v>507</v>
      </c>
      <c r="F24" s="477">
        <f ca="1">IF(B1="",'数据-取费表'!Q16,INDIRECT("'数据-取费表'!q"&amp;$K$1))</f>
        <v>0.17</v>
      </c>
      <c r="G24" s="442"/>
      <c r="H24" s="445"/>
      <c r="I24" s="445"/>
      <c r="J24" s="445"/>
      <c r="K24" s="446"/>
    </row>
    <row r="25" spans="1:14" s="2103" customFormat="1" ht="13.5" customHeight="1">
      <c r="A25" s="1616" t="s">
        <v>1848</v>
      </c>
      <c r="B25" s="1321" t="s">
        <v>2434</v>
      </c>
      <c r="C25" s="488">
        <f ca="1">ROUND((C18+C19)*F24,0)</f>
        <v>30967</v>
      </c>
      <c r="D25" s="470"/>
      <c r="E25" s="471"/>
      <c r="F25" s="478"/>
      <c r="G25" s="1319" t="s">
        <v>2431</v>
      </c>
      <c r="H25" s="455"/>
      <c r="I25" s="455"/>
      <c r="J25" s="455"/>
      <c r="K25" s="456"/>
    </row>
    <row r="26" spans="1:14" s="2103" customFormat="1" ht="13.5" customHeight="1">
      <c r="A26" s="1616" t="s">
        <v>1849</v>
      </c>
      <c r="B26" s="1321" t="s">
        <v>509</v>
      </c>
      <c r="C26" s="489">
        <f ca="1">ROUND(F20*F24,4)</f>
        <v>3.3999999999999998E-3</v>
      </c>
      <c r="D26" s="470"/>
      <c r="E26" s="479"/>
      <c r="F26" s="478"/>
      <c r="G26" s="1319" t="s">
        <v>510</v>
      </c>
      <c r="H26" s="455"/>
      <c r="I26" s="455"/>
      <c r="J26" s="455"/>
      <c r="K26" s="456"/>
    </row>
    <row r="27" spans="1:14" s="2103" customFormat="1" ht="13.5" customHeight="1">
      <c r="A27" s="1620" t="s">
        <v>1867</v>
      </c>
      <c r="B27" s="457" t="s">
        <v>511</v>
      </c>
      <c r="C27" s="2981">
        <f>ROUND(F27/(1+'数据-取费表'!C42),4)</f>
        <v>5.33E-2</v>
      </c>
      <c r="D27" s="460" t="s">
        <v>2828</v>
      </c>
      <c r="E27" s="460"/>
      <c r="F27" s="464">
        <f>'数据-取费表'!B41</f>
        <v>5.6000000000000001E-2</v>
      </c>
      <c r="G27" s="1943" t="s">
        <v>2290</v>
      </c>
      <c r="H27" s="445"/>
      <c r="I27" s="445"/>
      <c r="J27" s="445"/>
      <c r="K27" s="446"/>
    </row>
    <row r="28" spans="1:14" s="2104" customFormat="1" ht="13.5" customHeight="1">
      <c r="A28" s="1620" t="s">
        <v>1868</v>
      </c>
      <c r="B28" s="474" t="s">
        <v>512</v>
      </c>
      <c r="C28" s="468">
        <f ca="1">ROUND((C18+C19+C21+C24)/(1-C20-D21-D24-C27),0)</f>
        <v>247974</v>
      </c>
      <c r="D28" s="475"/>
      <c r="E28" s="467"/>
      <c r="F28" s="469"/>
      <c r="G28" s="1320" t="s">
        <v>2432</v>
      </c>
      <c r="H28" s="445"/>
      <c r="I28" s="445"/>
      <c r="J28" s="445"/>
      <c r="K28" s="446"/>
    </row>
    <row r="29" spans="1:14" s="2104" customFormat="1" ht="13.5" customHeight="1">
      <c r="A29" s="1620" t="s">
        <v>1869</v>
      </c>
      <c r="B29" s="474" t="s">
        <v>513</v>
      </c>
      <c r="C29" s="490">
        <f ca="1">IF(B1="",'数据-取费表'!N16,INDIRECT("'数据-取费表'!N"&amp;$K$1))</f>
        <v>0</v>
      </c>
      <c r="D29" s="491"/>
      <c r="E29" s="492"/>
      <c r="F29" s="493"/>
      <c r="G29" s="442"/>
      <c r="H29" s="445"/>
      <c r="I29" s="445"/>
      <c r="J29" s="445"/>
      <c r="K29" s="446"/>
    </row>
    <row r="30" spans="1:14" s="2104" customFormat="1" ht="13.5" customHeight="1">
      <c r="A30" s="441">
        <v>2</v>
      </c>
      <c r="B30" s="474" t="s">
        <v>514</v>
      </c>
      <c r="C30" s="495">
        <f ca="1">ROUND(C28*C29,0)</f>
        <v>0</v>
      </c>
      <c r="D30" s="491"/>
      <c r="E30" s="496"/>
      <c r="F30" s="497"/>
      <c r="G30" s="1322" t="s">
        <v>515</v>
      </c>
      <c r="H30" s="494"/>
      <c r="I30" s="494"/>
      <c r="J30" s="445"/>
      <c r="K30" s="446"/>
    </row>
    <row r="31" spans="1:14" s="2109" customFormat="1" ht="13.5" customHeight="1">
      <c r="A31" s="2444" t="s">
        <v>1865</v>
      </c>
      <c r="B31" s="1323"/>
      <c r="C31" s="498">
        <f>ROUND(C6*F31/(1+'数据-取费表'!C42),0)</f>
        <v>0</v>
      </c>
      <c r="D31" s="1324"/>
      <c r="E31" s="1324"/>
      <c r="F31" s="499">
        <f>'数据-取费表'!B41</f>
        <v>5.6000000000000001E-2</v>
      </c>
      <c r="G31" s="1325"/>
      <c r="H31" s="1325"/>
      <c r="I31" s="1325"/>
      <c r="J31" s="1326"/>
      <c r="K31" s="1327"/>
    </row>
    <row r="32" spans="1:14" s="2068"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5" t="s">
        <v>2970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1" t="s">
        <v>467</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29" customFormat="1" ht="28.5" customHeight="1">
      <c r="A4" s="509" t="s">
        <v>520</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29" customFormat="1" ht="28.5" customHeight="1" thickBot="1">
      <c r="A5" s="427"/>
      <c r="B5" s="428" t="e">
        <f>ROUND(B2/('数据-汇总表'!D3/666.67),0)</f>
        <v>#DIV/0!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521</v>
      </c>
      <c r="B6" s="511"/>
      <c r="C6" s="3381" t="s">
        <v>522</v>
      </c>
      <c r="D6" s="3382"/>
      <c r="E6" s="3417" t="s">
        <v>523</v>
      </c>
      <c r="F6" s="3418"/>
      <c r="G6" s="3381" t="s">
        <v>524</v>
      </c>
      <c r="H6" s="3382"/>
      <c r="I6" s="3381" t="s">
        <v>525</v>
      </c>
      <c r="J6" s="3382"/>
      <c r="K6" s="512" t="s">
        <v>526</v>
      </c>
      <c r="L6" s="2116"/>
      <c r="M6" s="2117"/>
      <c r="N6" s="2117"/>
      <c r="O6" s="2117"/>
      <c r="P6" s="3383" t="s">
        <v>527</v>
      </c>
      <c r="Q6" s="3384"/>
      <c r="R6" s="3389" t="s">
        <v>523</v>
      </c>
      <c r="S6" s="3390"/>
      <c r="T6" s="3389" t="s">
        <v>524</v>
      </c>
      <c r="U6" s="3390"/>
      <c r="V6" s="3376" t="s">
        <v>525</v>
      </c>
      <c r="W6" s="3376"/>
      <c r="X6" s="1551"/>
      <c r="Y6" s="3389" t="s">
        <v>527</v>
      </c>
      <c r="Z6" s="3390"/>
      <c r="AA6" s="3378" t="s">
        <v>523</v>
      </c>
      <c r="AB6" s="3379" t="s">
        <v>524</v>
      </c>
      <c r="AC6" s="3378" t="s">
        <v>525</v>
      </c>
    </row>
    <row r="7" spans="1:29" ht="15">
      <c r="A7" s="513"/>
      <c r="B7" s="514"/>
      <c r="C7" s="3399" t="s">
        <v>2927</v>
      </c>
      <c r="D7" s="3400"/>
      <c r="E7" s="3419" t="s">
        <v>2928</v>
      </c>
      <c r="F7" s="3420"/>
      <c r="G7" s="3399" t="s">
        <v>2929</v>
      </c>
      <c r="H7" s="3400"/>
      <c r="I7" s="3399" t="s">
        <v>2930</v>
      </c>
      <c r="J7" s="3400"/>
      <c r="K7" s="512"/>
      <c r="L7" s="2116"/>
      <c r="M7" s="2117"/>
      <c r="N7" s="2117"/>
      <c r="O7" s="2117"/>
      <c r="P7" s="3385"/>
      <c r="Q7" s="3386"/>
      <c r="R7" s="3391"/>
      <c r="S7" s="3392"/>
      <c r="T7" s="3391"/>
      <c r="U7" s="3392"/>
      <c r="V7" s="3376"/>
      <c r="W7" s="3376"/>
      <c r="X7" s="1551"/>
      <c r="Y7" s="3391"/>
      <c r="Z7" s="3392"/>
      <c r="AA7" s="3379"/>
      <c r="AB7" s="3379"/>
      <c r="AC7" s="3379"/>
    </row>
    <row r="8" spans="1:29" ht="15.75" thickBot="1">
      <c r="A8" s="515"/>
      <c r="B8" s="516"/>
      <c r="C8" s="3395" t="s">
        <v>2931</v>
      </c>
      <c r="D8" s="3396"/>
      <c r="E8" s="3415" t="s">
        <v>2931</v>
      </c>
      <c r="F8" s="3416"/>
      <c r="G8" s="3395" t="s">
        <v>2931</v>
      </c>
      <c r="H8" s="3396"/>
      <c r="I8" s="3395" t="s">
        <v>2931</v>
      </c>
      <c r="J8" s="3396"/>
      <c r="K8" s="512" t="s">
        <v>528</v>
      </c>
      <c r="L8" s="2116"/>
      <c r="M8" s="2117"/>
      <c r="N8" s="2117"/>
      <c r="O8" s="2117"/>
      <c r="P8" s="3387"/>
      <c r="Q8" s="3388"/>
      <c r="R8" s="3391"/>
      <c r="S8" s="3392"/>
      <c r="T8" s="3393"/>
      <c r="U8" s="3394"/>
      <c r="V8" s="3376"/>
      <c r="W8" s="3376"/>
      <c r="X8" s="1551"/>
      <c r="Y8" s="3393"/>
      <c r="Z8" s="3394"/>
      <c r="AA8" s="3380"/>
      <c r="AB8" s="3380"/>
      <c r="AC8" s="3380"/>
    </row>
    <row r="9" spans="1:29" s="1213" customFormat="1" ht="15.75" thickBot="1">
      <c r="A9" s="2865"/>
      <c r="B9" s="2872" t="s">
        <v>529</v>
      </c>
      <c r="C9" s="517">
        <f>'数据-取费表'!B2</f>
        <v>43665</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08" t="s">
        <v>530</v>
      </c>
      <c r="Q9" s="3410"/>
      <c r="R9" s="1552" t="s">
        <v>8</v>
      </c>
      <c r="S9" s="1553">
        <f t="shared" ref="S9:S17" si="0">F9</f>
        <v>0</v>
      </c>
      <c r="T9" s="1552" t="s">
        <v>8</v>
      </c>
      <c r="U9" s="1553">
        <f t="shared" ref="U9:U17" si="1">H9</f>
        <v>0</v>
      </c>
      <c r="V9" s="1552" t="s">
        <v>8</v>
      </c>
      <c r="W9" s="1553">
        <f t="shared" ref="W9:W17" si="2">J9</f>
        <v>0</v>
      </c>
      <c r="X9" s="1554"/>
      <c r="Y9" s="3408" t="s">
        <v>530</v>
      </c>
      <c r="Z9" s="3409"/>
      <c r="AA9" s="1555" t="e">
        <f>D9/F9</f>
        <v>#DIV/0!</v>
      </c>
      <c r="AB9" s="1555" t="e">
        <f>D9/H9</f>
        <v>#DIV/0!</v>
      </c>
      <c r="AC9" s="1555" t="e">
        <f>D9/J9</f>
        <v>#DIV/0!</v>
      </c>
    </row>
    <row r="10" spans="1:29" s="1213" customFormat="1" ht="15.75" thickBot="1">
      <c r="A10" s="2866"/>
      <c r="B10" s="287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08" t="s">
        <v>533</v>
      </c>
      <c r="Q10" s="3409"/>
      <c r="R10" s="1552" t="s">
        <v>8</v>
      </c>
      <c r="S10" s="1553">
        <f t="shared" si="0"/>
        <v>0</v>
      </c>
      <c r="T10" s="1552" t="s">
        <v>8</v>
      </c>
      <c r="U10" s="1553">
        <f t="shared" si="1"/>
        <v>0</v>
      </c>
      <c r="V10" s="1552" t="s">
        <v>8</v>
      </c>
      <c r="W10" s="1553">
        <f t="shared" si="2"/>
        <v>0</v>
      </c>
      <c r="X10" s="1554"/>
      <c r="Y10" s="3408" t="s">
        <v>533</v>
      </c>
      <c r="Z10" s="3409"/>
      <c r="AA10" s="1555" t="e">
        <f t="shared" ref="AA10:AA42" si="3">D10/F10</f>
        <v>#DIV/0!</v>
      </c>
      <c r="AB10" s="1555" t="e">
        <f t="shared" ref="AB10:AB42" si="4">D10/H10</f>
        <v>#DIV/0!</v>
      </c>
      <c r="AC10" s="1555" t="e">
        <f t="shared" ref="AC10:AC42" si="5">D10/J10</f>
        <v>#DIV/0!</v>
      </c>
    </row>
    <row r="11" spans="1:29" s="1213" customFormat="1" ht="15">
      <c r="A11" s="2867"/>
      <c r="B11" s="2874" t="s">
        <v>2754</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375" t="s">
        <v>535</v>
      </c>
      <c r="Q11" s="1144" t="str">
        <f t="shared" ref="Q11:Q17" si="6">B11</f>
        <v>用途</v>
      </c>
      <c r="R11" s="1552" t="s">
        <v>8</v>
      </c>
      <c r="S11" s="1553">
        <f t="shared" si="0"/>
        <v>100</v>
      </c>
      <c r="T11" s="1552" t="s">
        <v>8</v>
      </c>
      <c r="U11" s="1553">
        <f t="shared" si="1"/>
        <v>100</v>
      </c>
      <c r="V11" s="1552" t="s">
        <v>8</v>
      </c>
      <c r="W11" s="1553">
        <f t="shared" si="2"/>
        <v>100</v>
      </c>
      <c r="X11" s="1554"/>
      <c r="Y11" s="3321" t="s">
        <v>536</v>
      </c>
      <c r="Z11" s="1143" t="str">
        <f t="shared" ref="Z11:Z17" si="7">Q11</f>
        <v>用途</v>
      </c>
      <c r="AA11" s="1555">
        <f t="shared" si="3"/>
        <v>1</v>
      </c>
      <c r="AB11" s="1555">
        <f t="shared" si="4"/>
        <v>1</v>
      </c>
      <c r="AC11" s="1555">
        <f t="shared" si="5"/>
        <v>1</v>
      </c>
    </row>
    <row r="12" spans="1:29" s="1331" customFormat="1" ht="27">
      <c r="A12" s="2868"/>
      <c r="B12" s="2873" t="s">
        <v>2755</v>
      </c>
      <c r="C12" s="526"/>
      <c r="D12" s="253">
        <v>100</v>
      </c>
      <c r="E12" s="526"/>
      <c r="F12" s="253">
        <f>ROUND(100/'数据-取费表'!G16,0)</f>
        <v>108</v>
      </c>
      <c r="G12" s="526"/>
      <c r="H12" s="253">
        <f>ROUND(100/'数据-取费表'!G16,0)</f>
        <v>108</v>
      </c>
      <c r="I12" s="526"/>
      <c r="J12" s="253">
        <f>ROUND(100/'数据-取费表'!G16,0)</f>
        <v>108</v>
      </c>
      <c r="K12" s="529"/>
      <c r="L12" s="2121"/>
      <c r="M12" s="2161"/>
      <c r="N12" s="2161"/>
      <c r="O12" s="2122"/>
      <c r="P12" s="3375"/>
      <c r="Q12" s="1144" t="str">
        <f t="shared" si="6"/>
        <v>土地使用年限（年）</v>
      </c>
      <c r="R12" s="1552" t="s">
        <v>8</v>
      </c>
      <c r="S12" s="1553">
        <f t="shared" si="0"/>
        <v>108</v>
      </c>
      <c r="T12" s="1552" t="s">
        <v>8</v>
      </c>
      <c r="U12" s="1553">
        <f t="shared" si="1"/>
        <v>108</v>
      </c>
      <c r="V12" s="1552" t="s">
        <v>8</v>
      </c>
      <c r="W12" s="1553">
        <f t="shared" si="2"/>
        <v>108</v>
      </c>
      <c r="X12" s="1554"/>
      <c r="Y12" s="3321"/>
      <c r="Z12" s="1143" t="str">
        <f t="shared" si="7"/>
        <v>土地使用年限（年）</v>
      </c>
      <c r="AA12" s="1555">
        <f t="shared" si="3"/>
        <v>0.92592592592592593</v>
      </c>
      <c r="AB12" s="1555">
        <f t="shared" si="4"/>
        <v>0.92592592592592593</v>
      </c>
      <c r="AC12" s="1555">
        <f t="shared" si="5"/>
        <v>0.92592592592592593</v>
      </c>
    </row>
    <row r="13" spans="1:29" ht="15">
      <c r="A13" s="2869"/>
      <c r="B13" s="2873" t="s">
        <v>2756</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375"/>
      <c r="Q13" s="1144" t="str">
        <f t="shared" si="6"/>
        <v>容积率</v>
      </c>
      <c r="R13" s="1552" t="s">
        <v>8</v>
      </c>
      <c r="S13" s="1553" t="e">
        <f t="shared" si="0"/>
        <v>#N/A</v>
      </c>
      <c r="T13" s="1552" t="s">
        <v>8</v>
      </c>
      <c r="U13" s="1553" t="e">
        <f t="shared" si="1"/>
        <v>#N/A</v>
      </c>
      <c r="V13" s="1552" t="s">
        <v>8</v>
      </c>
      <c r="W13" s="1553" t="e">
        <f t="shared" si="2"/>
        <v>#N/A</v>
      </c>
      <c r="X13" s="1554"/>
      <c r="Y13" s="3321"/>
      <c r="Z13" s="1143" t="str">
        <f t="shared" si="7"/>
        <v>容积率</v>
      </c>
      <c r="AA13" s="1555" t="e">
        <f t="shared" si="3"/>
        <v>#N/A</v>
      </c>
      <c r="AB13" s="1555" t="e">
        <f t="shared" si="4"/>
        <v>#N/A</v>
      </c>
      <c r="AC13" s="1555" t="e">
        <f t="shared" si="5"/>
        <v>#N/A</v>
      </c>
    </row>
    <row r="14" spans="1:29" s="1213"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375"/>
      <c r="Q14" s="1144">
        <f t="shared" si="6"/>
        <v>111</v>
      </c>
      <c r="R14" s="1552" t="s">
        <v>8</v>
      </c>
      <c r="S14" s="1553">
        <f t="shared" si="0"/>
        <v>100</v>
      </c>
      <c r="T14" s="1552" t="s">
        <v>8</v>
      </c>
      <c r="U14" s="1553">
        <f t="shared" si="1"/>
        <v>100</v>
      </c>
      <c r="V14" s="1552" t="s">
        <v>8</v>
      </c>
      <c r="W14" s="1553">
        <f t="shared" si="2"/>
        <v>100</v>
      </c>
      <c r="X14" s="1554"/>
      <c r="Y14" s="3321"/>
      <c r="Z14" s="1143">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375"/>
      <c r="Q15" s="1144">
        <f t="shared" si="6"/>
        <v>111</v>
      </c>
      <c r="R15" s="1552" t="s">
        <v>8</v>
      </c>
      <c r="S15" s="1553">
        <f t="shared" si="0"/>
        <v>100</v>
      </c>
      <c r="T15" s="1552" t="s">
        <v>8</v>
      </c>
      <c r="U15" s="1553">
        <f t="shared" si="1"/>
        <v>100</v>
      </c>
      <c r="V15" s="1552" t="s">
        <v>8</v>
      </c>
      <c r="W15" s="1553">
        <f t="shared" si="2"/>
        <v>100</v>
      </c>
      <c r="X15" s="1554"/>
      <c r="Y15" s="3321"/>
      <c r="Z15" s="1143">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375"/>
      <c r="Q16" s="1144">
        <f t="shared" si="6"/>
        <v>111</v>
      </c>
      <c r="R16" s="1552" t="s">
        <v>8</v>
      </c>
      <c r="S16" s="1553">
        <f t="shared" si="0"/>
        <v>100</v>
      </c>
      <c r="T16" s="1552" t="s">
        <v>8</v>
      </c>
      <c r="U16" s="1553">
        <f t="shared" si="1"/>
        <v>100</v>
      </c>
      <c r="V16" s="1552" t="s">
        <v>8</v>
      </c>
      <c r="W16" s="1553">
        <f t="shared" si="2"/>
        <v>100</v>
      </c>
      <c r="X16" s="1554"/>
      <c r="Y16" s="3321"/>
      <c r="Z16" s="1143">
        <f t="shared" si="7"/>
        <v>111</v>
      </c>
      <c r="AA16" s="1555">
        <f t="shared" si="3"/>
        <v>1</v>
      </c>
      <c r="AB16" s="1555">
        <f t="shared" si="4"/>
        <v>1</v>
      </c>
      <c r="AC16" s="1555">
        <f t="shared" si="5"/>
        <v>1</v>
      </c>
    </row>
    <row r="17" spans="1:29" ht="57">
      <c r="A17" s="2863" t="s">
        <v>2752</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11" t="s">
        <v>540</v>
      </c>
      <c r="Q17" s="1556" t="str">
        <f t="shared" si="6"/>
        <v>产业集聚程度</v>
      </c>
      <c r="R17" s="1557" t="s">
        <v>8</v>
      </c>
      <c r="S17" s="1558">
        <f t="shared" si="0"/>
        <v>100</v>
      </c>
      <c r="T17" s="1557" t="s">
        <v>8</v>
      </c>
      <c r="U17" s="1558">
        <f t="shared" si="1"/>
        <v>100</v>
      </c>
      <c r="V17" s="1557" t="s">
        <v>8</v>
      </c>
      <c r="W17" s="1558">
        <f t="shared" si="2"/>
        <v>100</v>
      </c>
      <c r="X17" s="1551"/>
      <c r="Y17" s="3411" t="s">
        <v>540</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12"/>
      <c r="Q18" s="1556"/>
      <c r="R18" s="1557"/>
      <c r="S18" s="1558"/>
      <c r="T18" s="1557"/>
      <c r="U18" s="1558"/>
      <c r="V18" s="1557"/>
      <c r="W18" s="1558"/>
      <c r="X18" s="1551"/>
      <c r="Y18" s="3412"/>
      <c r="Z18" s="1559"/>
      <c r="AA18" s="1560">
        <v>1</v>
      </c>
      <c r="AB18" s="1560">
        <v>1</v>
      </c>
      <c r="AC18" s="1560">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12"/>
      <c r="Q19" s="1556" t="str">
        <f>B19</f>
        <v>交通便捷度</v>
      </c>
      <c r="R19" s="1557" t="s">
        <v>8</v>
      </c>
      <c r="S19" s="1558">
        <f>F19</f>
        <v>100</v>
      </c>
      <c r="T19" s="1557" t="s">
        <v>8</v>
      </c>
      <c r="U19" s="1558">
        <f>H19</f>
        <v>100</v>
      </c>
      <c r="V19" s="1557" t="s">
        <v>8</v>
      </c>
      <c r="W19" s="1558">
        <f>J19</f>
        <v>100</v>
      </c>
      <c r="X19" s="1551"/>
      <c r="Y19" s="3412"/>
      <c r="Z19" s="1559" t="str">
        <f>Q19</f>
        <v>交通便捷度</v>
      </c>
      <c r="AA19" s="1560">
        <f t="shared" si="3"/>
        <v>1</v>
      </c>
      <c r="AB19" s="1560">
        <f t="shared" si="4"/>
        <v>1</v>
      </c>
      <c r="AC19" s="1560">
        <f t="shared" si="5"/>
        <v>1</v>
      </c>
    </row>
    <row r="20" spans="1:29" ht="15">
      <c r="A20" s="530"/>
      <c r="B20" s="919"/>
      <c r="C20" s="574"/>
      <c r="D20" s="553"/>
      <c r="E20" s="554"/>
      <c r="F20" s="553"/>
      <c r="G20" s="554"/>
      <c r="H20" s="553"/>
      <c r="I20" s="556"/>
      <c r="J20" s="553"/>
      <c r="K20" s="529"/>
      <c r="L20" s="2125"/>
      <c r="M20" s="2117"/>
      <c r="N20" s="2117"/>
      <c r="O20" s="2124"/>
      <c r="P20" s="3412"/>
      <c r="Q20" s="1556"/>
      <c r="R20" s="1557"/>
      <c r="S20" s="1558"/>
      <c r="T20" s="1557"/>
      <c r="U20" s="1558"/>
      <c r="V20" s="1557"/>
      <c r="W20" s="1558"/>
      <c r="X20" s="1551"/>
      <c r="Y20" s="3412"/>
      <c r="Z20" s="1559"/>
      <c r="AA20" s="1560">
        <v>1</v>
      </c>
      <c r="AB20" s="1560">
        <v>1</v>
      </c>
      <c r="AC20" s="1560">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5"/>
      <c r="M21" s="2117"/>
      <c r="N21" s="2117"/>
      <c r="O21" s="2124"/>
      <c r="P21" s="3412"/>
      <c r="Q21" s="1556" t="str">
        <f t="shared" ref="Q21:Q35" si="8">B21</f>
        <v>区域土地利用方向</v>
      </c>
      <c r="R21" s="1557" t="s">
        <v>8</v>
      </c>
      <c r="S21" s="1558">
        <f>F21</f>
        <v>100</v>
      </c>
      <c r="T21" s="1557" t="s">
        <v>8</v>
      </c>
      <c r="U21" s="1558">
        <f>H21</f>
        <v>100</v>
      </c>
      <c r="V21" s="1557" t="s">
        <v>8</v>
      </c>
      <c r="W21" s="1558">
        <f>J21</f>
        <v>100</v>
      </c>
      <c r="X21" s="1551"/>
      <c r="Y21" s="3412"/>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1"/>
      <c r="L22" s="2125"/>
      <c r="M22" s="2117"/>
      <c r="N22" s="2117"/>
      <c r="O22" s="2124"/>
      <c r="P22" s="3412"/>
      <c r="Q22" s="1556"/>
      <c r="R22" s="1557"/>
      <c r="S22" s="1558"/>
      <c r="T22" s="1557"/>
      <c r="U22" s="1558"/>
      <c r="V22" s="1557"/>
      <c r="W22" s="1558"/>
      <c r="X22" s="1551"/>
      <c r="Y22" s="3412"/>
      <c r="Z22" s="1559"/>
      <c r="AA22" s="1560"/>
      <c r="AB22" s="1560"/>
      <c r="AC22" s="1560"/>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12"/>
      <c r="Q23" s="1556" t="str">
        <f t="shared" si="8"/>
        <v>环境状况</v>
      </c>
      <c r="R23" s="1557" t="s">
        <v>8</v>
      </c>
      <c r="S23" s="1558">
        <f>F23</f>
        <v>100</v>
      </c>
      <c r="T23" s="1557" t="s">
        <v>8</v>
      </c>
      <c r="U23" s="1558">
        <f>H23</f>
        <v>100</v>
      </c>
      <c r="V23" s="1557" t="s">
        <v>8</v>
      </c>
      <c r="W23" s="1558">
        <f>J23</f>
        <v>100</v>
      </c>
      <c r="X23" s="1551"/>
      <c r="Y23" s="3412"/>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12"/>
      <c r="Q24" s="1556"/>
      <c r="R24" s="1557"/>
      <c r="S24" s="1558"/>
      <c r="T24" s="1557"/>
      <c r="U24" s="1558"/>
      <c r="V24" s="1557"/>
      <c r="W24" s="1558"/>
      <c r="X24" s="1551"/>
      <c r="Y24" s="3412"/>
      <c r="Z24" s="1559"/>
      <c r="AA24" s="1560">
        <v>1</v>
      </c>
      <c r="AB24" s="1560">
        <v>1</v>
      </c>
      <c r="AC24" s="1560">
        <v>1</v>
      </c>
    </row>
    <row r="25" spans="1:29" s="1213" customFormat="1" ht="42.75">
      <c r="A25" s="575"/>
      <c r="B25" s="2555"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12"/>
      <c r="Q25" s="1144" t="str">
        <f t="shared" si="8"/>
        <v>公共配套设施</v>
      </c>
      <c r="R25" s="1552" t="s">
        <v>8</v>
      </c>
      <c r="S25" s="1553">
        <f>F25</f>
        <v>100</v>
      </c>
      <c r="T25" s="1552" t="s">
        <v>8</v>
      </c>
      <c r="U25" s="1553">
        <f>H25</f>
        <v>100</v>
      </c>
      <c r="V25" s="1552" t="s">
        <v>8</v>
      </c>
      <c r="W25" s="1553">
        <f>J25</f>
        <v>100</v>
      </c>
      <c r="X25" s="1554"/>
      <c r="Y25" s="3412"/>
      <c r="Z25" s="1143" t="str">
        <f>Q25</f>
        <v>公共配套设施</v>
      </c>
      <c r="AA25" s="1560">
        <f>D25/F25</f>
        <v>1</v>
      </c>
      <c r="AB25" s="1560">
        <f>D25/H25</f>
        <v>1</v>
      </c>
      <c r="AC25" s="1560">
        <f>D25/J25</f>
        <v>1</v>
      </c>
    </row>
    <row r="26" spans="1:29" s="1213" customFormat="1" ht="15">
      <c r="A26" s="575"/>
      <c r="B26" s="593"/>
      <c r="C26" s="2554"/>
      <c r="D26" s="553"/>
      <c r="E26" s="552"/>
      <c r="F26" s="553"/>
      <c r="G26" s="552"/>
      <c r="H26" s="553"/>
      <c r="I26" s="574"/>
      <c r="J26" s="553"/>
      <c r="K26" s="529"/>
      <c r="L26" s="2118"/>
      <c r="M26" s="2119"/>
      <c r="N26" s="2119"/>
      <c r="O26" s="2120"/>
      <c r="P26" s="3412"/>
      <c r="Q26" s="1144"/>
      <c r="R26" s="1552"/>
      <c r="S26" s="1553"/>
      <c r="T26" s="1552"/>
      <c r="U26" s="1553"/>
      <c r="V26" s="1552"/>
      <c r="W26" s="1553"/>
      <c r="X26" s="1554"/>
      <c r="Y26" s="3412"/>
      <c r="Z26" s="1143"/>
      <c r="AA26" s="1555">
        <v>1</v>
      </c>
      <c r="AB26" s="1555">
        <v>1</v>
      </c>
      <c r="AC26" s="1555">
        <v>1</v>
      </c>
    </row>
    <row r="27" spans="1:29" s="1213" customFormat="1" ht="28.5">
      <c r="A27" s="575"/>
      <c r="B27" s="2555"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12"/>
      <c r="Q27" s="2540" t="str">
        <f t="shared" ref="Q27" si="9">B27</f>
        <v>基础设施水平</v>
      </c>
      <c r="R27" s="1552" t="s">
        <v>8</v>
      </c>
      <c r="S27" s="1553">
        <f>F27</f>
        <v>100</v>
      </c>
      <c r="T27" s="1552" t="s">
        <v>8</v>
      </c>
      <c r="U27" s="1553">
        <f>H27</f>
        <v>100</v>
      </c>
      <c r="V27" s="1552" t="s">
        <v>8</v>
      </c>
      <c r="W27" s="1553">
        <f>J27</f>
        <v>100</v>
      </c>
      <c r="X27" s="1554"/>
      <c r="Y27" s="3412"/>
      <c r="Z27" s="2537" t="str">
        <f>Q27</f>
        <v>基础设施水平</v>
      </c>
      <c r="AA27" s="1560">
        <f>D27/F27</f>
        <v>1</v>
      </c>
      <c r="AB27" s="1560">
        <f>D27/H27</f>
        <v>1</v>
      </c>
      <c r="AC27" s="1560">
        <f>D27/J27</f>
        <v>1</v>
      </c>
    </row>
    <row r="28" spans="1:29" s="1213" customFormat="1" ht="15">
      <c r="A28" s="575"/>
      <c r="B28" s="593"/>
      <c r="C28" s="2554"/>
      <c r="D28" s="553"/>
      <c r="E28" s="577"/>
      <c r="F28" s="553"/>
      <c r="G28" s="577"/>
      <c r="H28" s="553"/>
      <c r="I28" s="577"/>
      <c r="J28" s="553"/>
      <c r="K28" s="529"/>
      <c r="L28" s="2118"/>
      <c r="M28" s="2119"/>
      <c r="N28" s="2119"/>
      <c r="O28" s="2120"/>
      <c r="P28" s="3412"/>
      <c r="Q28" s="2540"/>
      <c r="R28" s="1552"/>
      <c r="S28" s="1553"/>
      <c r="T28" s="1552"/>
      <c r="U28" s="1553"/>
      <c r="V28" s="1552"/>
      <c r="W28" s="1553"/>
      <c r="X28" s="1554"/>
      <c r="Y28" s="3412"/>
      <c r="Z28" s="2537"/>
      <c r="AA28" s="1555">
        <v>1</v>
      </c>
      <c r="AB28" s="1555">
        <v>1</v>
      </c>
      <c r="AC28" s="1555">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1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12"/>
      <c r="Z29" s="1559" t="str">
        <f t="shared" ref="Z29:Z42" si="13">Q29</f>
        <v>临街状况</v>
      </c>
      <c r="AA29" s="1560">
        <f t="shared" si="3"/>
        <v>1</v>
      </c>
      <c r="AB29" s="1560">
        <f t="shared" si="4"/>
        <v>1</v>
      </c>
      <c r="AC29" s="1560">
        <f t="shared" si="5"/>
        <v>1</v>
      </c>
    </row>
    <row r="30" spans="1:29" ht="27">
      <c r="A30" s="530"/>
      <c r="B30" s="919" t="s">
        <v>548</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12"/>
      <c r="Q30" s="1556" t="str">
        <f t="shared" si="8"/>
        <v>毗邻道路的类型与等级</v>
      </c>
      <c r="R30" s="1557" t="s">
        <v>8</v>
      </c>
      <c r="S30" s="1558">
        <f t="shared" si="10"/>
        <v>100</v>
      </c>
      <c r="T30" s="1557" t="s">
        <v>8</v>
      </c>
      <c r="U30" s="1558">
        <f t="shared" si="11"/>
        <v>100</v>
      </c>
      <c r="V30" s="1557" t="s">
        <v>8</v>
      </c>
      <c r="W30" s="1558">
        <f t="shared" si="12"/>
        <v>100</v>
      </c>
      <c r="X30" s="1551"/>
      <c r="Y30" s="3412"/>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12"/>
      <c r="Q31" s="1556"/>
      <c r="R31" s="1557"/>
      <c r="S31" s="1558"/>
      <c r="T31" s="1557"/>
      <c r="U31" s="1558"/>
      <c r="V31" s="1557"/>
      <c r="W31" s="1558"/>
      <c r="X31" s="1551"/>
      <c r="Y31" s="3412"/>
      <c r="Z31" s="1559"/>
      <c r="AA31" s="1560">
        <v>1</v>
      </c>
      <c r="AB31" s="1560">
        <v>1</v>
      </c>
      <c r="AC31" s="1560">
        <v>1</v>
      </c>
    </row>
    <row r="32" spans="1:29" ht="15">
      <c r="A32" s="530"/>
      <c r="B32" s="525" t="s">
        <v>549</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12"/>
      <c r="Q32" s="1556" t="str">
        <f t="shared" si="8"/>
        <v>土地级别</v>
      </c>
      <c r="R32" s="1557" t="s">
        <v>8</v>
      </c>
      <c r="S32" s="1558">
        <f t="shared" si="10"/>
        <v>100</v>
      </c>
      <c r="T32" s="1557" t="s">
        <v>8</v>
      </c>
      <c r="U32" s="1558">
        <f t="shared" si="11"/>
        <v>100</v>
      </c>
      <c r="V32" s="1557" t="s">
        <v>8</v>
      </c>
      <c r="W32" s="1558">
        <f t="shared" si="12"/>
        <v>100</v>
      </c>
      <c r="X32" s="1551"/>
      <c r="Y32" s="3412"/>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12"/>
      <c r="Q33" s="1556">
        <f t="shared" si="8"/>
        <v>111</v>
      </c>
      <c r="R33" s="1557" t="s">
        <v>8</v>
      </c>
      <c r="S33" s="1558">
        <f t="shared" si="10"/>
        <v>100</v>
      </c>
      <c r="T33" s="1557" t="s">
        <v>8</v>
      </c>
      <c r="U33" s="1558">
        <f t="shared" si="11"/>
        <v>100</v>
      </c>
      <c r="V33" s="1557" t="s">
        <v>8</v>
      </c>
      <c r="W33" s="1558">
        <f t="shared" si="12"/>
        <v>100</v>
      </c>
      <c r="X33" s="1551"/>
      <c r="Y33" s="3412"/>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13" t="s">
        <v>550</v>
      </c>
      <c r="Q34" s="1556">
        <f t="shared" si="8"/>
        <v>111</v>
      </c>
      <c r="R34" s="1557" t="s">
        <v>8</v>
      </c>
      <c r="S34" s="1558">
        <f t="shared" si="10"/>
        <v>100</v>
      </c>
      <c r="T34" s="1557" t="s">
        <v>8</v>
      </c>
      <c r="U34" s="1558">
        <f t="shared" si="11"/>
        <v>100</v>
      </c>
      <c r="V34" s="1557" t="s">
        <v>8</v>
      </c>
      <c r="W34" s="1558">
        <f t="shared" si="12"/>
        <v>100</v>
      </c>
      <c r="X34" s="1551"/>
      <c r="Y34" s="3414" t="s">
        <v>550</v>
      </c>
      <c r="Z34" s="1559">
        <f t="shared" si="13"/>
        <v>111</v>
      </c>
      <c r="AA34" s="1560">
        <f t="shared" si="3"/>
        <v>1</v>
      </c>
      <c r="AB34" s="1560">
        <f t="shared" si="4"/>
        <v>1</v>
      </c>
      <c r="AC34" s="1560">
        <f t="shared" si="5"/>
        <v>1</v>
      </c>
    </row>
    <row r="35" spans="1:29" s="1332"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14"/>
      <c r="Q35" s="1556">
        <f t="shared" si="8"/>
        <v>111</v>
      </c>
      <c r="R35" s="1561" t="s">
        <v>8</v>
      </c>
      <c r="S35" s="1562">
        <f t="shared" si="10"/>
        <v>100</v>
      </c>
      <c r="T35" s="1561" t="s">
        <v>8</v>
      </c>
      <c r="U35" s="1562">
        <f t="shared" si="11"/>
        <v>100</v>
      </c>
      <c r="V35" s="1561" t="s">
        <v>8</v>
      </c>
      <c r="W35" s="1562">
        <f t="shared" si="12"/>
        <v>100</v>
      </c>
      <c r="X35" s="1563"/>
      <c r="Y35" s="3414"/>
      <c r="Z35" s="1564">
        <f t="shared" si="13"/>
        <v>111</v>
      </c>
      <c r="AA35" s="1560">
        <f t="shared" si="3"/>
        <v>1</v>
      </c>
      <c r="AB35" s="1560">
        <f t="shared" si="4"/>
        <v>1</v>
      </c>
      <c r="AC35" s="1560">
        <f t="shared" si="5"/>
        <v>1</v>
      </c>
    </row>
    <row r="36" spans="1:29" ht="15">
      <c r="A36" s="2860" t="s">
        <v>2753</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14"/>
      <c r="Q36" s="1556" t="str">
        <f>B36</f>
        <v>宗地面积</v>
      </c>
      <c r="R36" s="1557" t="s">
        <v>8</v>
      </c>
      <c r="S36" s="1558" t="e">
        <f t="shared" si="10"/>
        <v>#N/A</v>
      </c>
      <c r="T36" s="1557" t="s">
        <v>8</v>
      </c>
      <c r="U36" s="1558" t="e">
        <f t="shared" si="11"/>
        <v>#N/A</v>
      </c>
      <c r="V36" s="1557" t="s">
        <v>8</v>
      </c>
      <c r="W36" s="1558" t="e">
        <f t="shared" si="12"/>
        <v>#N/A</v>
      </c>
      <c r="X36" s="1551"/>
      <c r="Y36" s="3414"/>
      <c r="Z36" s="1559" t="str">
        <f t="shared" si="13"/>
        <v>宗地面积</v>
      </c>
      <c r="AA36" s="1560" t="e">
        <f t="shared" si="3"/>
        <v>#N/A</v>
      </c>
      <c r="AB36" s="1560" t="e">
        <f t="shared" si="4"/>
        <v>#N/A</v>
      </c>
      <c r="AC36" s="1560"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14"/>
      <c r="Q37" s="1556" t="str">
        <f t="shared" ref="Q37:Q42" si="14">B37</f>
        <v>宗地形状</v>
      </c>
      <c r="R37" s="1557" t="s">
        <v>8</v>
      </c>
      <c r="S37" s="1558">
        <f t="shared" si="10"/>
        <v>100</v>
      </c>
      <c r="T37" s="1557" t="s">
        <v>8</v>
      </c>
      <c r="U37" s="1558">
        <f t="shared" si="11"/>
        <v>100</v>
      </c>
      <c r="V37" s="1557" t="s">
        <v>8</v>
      </c>
      <c r="W37" s="1558">
        <f t="shared" si="12"/>
        <v>100</v>
      </c>
      <c r="X37" s="1551"/>
      <c r="Y37" s="3414"/>
      <c r="Z37" s="1559" t="str">
        <f t="shared" si="13"/>
        <v>宗地形状</v>
      </c>
      <c r="AA37" s="1560">
        <f t="shared" si="3"/>
        <v>1</v>
      </c>
      <c r="AB37" s="1560">
        <f t="shared" si="4"/>
        <v>1</v>
      </c>
      <c r="AC37" s="1560">
        <f t="shared" si="5"/>
        <v>1</v>
      </c>
    </row>
    <row r="38" spans="1:29" s="1213" customFormat="1" ht="15">
      <c r="A38" s="598"/>
      <c r="B38" s="1878"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14"/>
      <c r="Q38" s="1556" t="str">
        <f t="shared" si="14"/>
        <v>宗地开发程度</v>
      </c>
      <c r="R38" s="1552" t="s">
        <v>8</v>
      </c>
      <c r="S38" s="1553">
        <f t="shared" si="10"/>
        <v>100</v>
      </c>
      <c r="T38" s="1552" t="s">
        <v>8</v>
      </c>
      <c r="U38" s="1553">
        <f t="shared" si="11"/>
        <v>100</v>
      </c>
      <c r="V38" s="1552" t="s">
        <v>8</v>
      </c>
      <c r="W38" s="1553">
        <f t="shared" si="12"/>
        <v>100</v>
      </c>
      <c r="X38" s="1554"/>
      <c r="Y38" s="3414"/>
      <c r="Z38" s="1143" t="str">
        <f t="shared" si="13"/>
        <v>宗地开发程度</v>
      </c>
      <c r="AA38" s="1555">
        <f t="shared" si="3"/>
        <v>1</v>
      </c>
      <c r="AB38" s="1555">
        <f t="shared" si="4"/>
        <v>1</v>
      </c>
      <c r="AC38" s="1555">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14" t="s">
        <v>601</v>
      </c>
      <c r="Q39" s="1556" t="str">
        <f t="shared" si="14"/>
        <v>工程地质条件</v>
      </c>
      <c r="R39" s="1557" t="s">
        <v>8</v>
      </c>
      <c r="S39" s="1558">
        <f t="shared" si="10"/>
        <v>100</v>
      </c>
      <c r="T39" s="1557" t="s">
        <v>8</v>
      </c>
      <c r="U39" s="1558">
        <f t="shared" si="11"/>
        <v>100</v>
      </c>
      <c r="V39" s="1557" t="s">
        <v>8</v>
      </c>
      <c r="W39" s="1558">
        <f t="shared" si="12"/>
        <v>100</v>
      </c>
      <c r="X39" s="1551"/>
      <c r="Y39" s="3414" t="s">
        <v>601</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14"/>
      <c r="Q40" s="1556">
        <f t="shared" si="14"/>
        <v>111</v>
      </c>
      <c r="R40" s="1557" t="s">
        <v>8</v>
      </c>
      <c r="S40" s="1558">
        <f t="shared" si="10"/>
        <v>100</v>
      </c>
      <c r="T40" s="1557" t="s">
        <v>8</v>
      </c>
      <c r="U40" s="1558">
        <f t="shared" si="11"/>
        <v>100</v>
      </c>
      <c r="V40" s="1557" t="s">
        <v>8</v>
      </c>
      <c r="W40" s="1558">
        <f t="shared" si="12"/>
        <v>100</v>
      </c>
      <c r="X40" s="1551"/>
      <c r="Y40" s="3414"/>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14"/>
      <c r="Q41" s="1556">
        <f t="shared" si="14"/>
        <v>111</v>
      </c>
      <c r="R41" s="1557" t="s">
        <v>8</v>
      </c>
      <c r="S41" s="1558">
        <f t="shared" si="10"/>
        <v>100</v>
      </c>
      <c r="T41" s="1557" t="s">
        <v>8</v>
      </c>
      <c r="U41" s="1558">
        <f t="shared" si="11"/>
        <v>100</v>
      </c>
      <c r="V41" s="1557" t="s">
        <v>8</v>
      </c>
      <c r="W41" s="1558">
        <f t="shared" si="12"/>
        <v>100</v>
      </c>
      <c r="X41" s="1551"/>
      <c r="Y41" s="3414"/>
      <c r="Z41" s="1559">
        <f t="shared" si="13"/>
        <v>111</v>
      </c>
      <c r="AA41" s="1560">
        <f t="shared" si="3"/>
        <v>1</v>
      </c>
      <c r="AB41" s="1560">
        <f t="shared" si="4"/>
        <v>1</v>
      </c>
      <c r="AC41" s="1560">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14"/>
      <c r="Q42" s="1556">
        <f t="shared" si="14"/>
        <v>111</v>
      </c>
      <c r="R42" s="1561" t="s">
        <v>8</v>
      </c>
      <c r="S42" s="1562">
        <f t="shared" si="10"/>
        <v>100</v>
      </c>
      <c r="T42" s="1561" t="s">
        <v>8</v>
      </c>
      <c r="U42" s="1562">
        <f t="shared" si="11"/>
        <v>100</v>
      </c>
      <c r="V42" s="1561" t="s">
        <v>8</v>
      </c>
      <c r="W42" s="1562">
        <f t="shared" si="12"/>
        <v>100</v>
      </c>
      <c r="X42" s="1563"/>
      <c r="Y42" s="3414"/>
      <c r="Z42" s="1564">
        <f t="shared" si="13"/>
        <v>111</v>
      </c>
      <c r="AA42" s="1560">
        <f t="shared" si="3"/>
        <v>1</v>
      </c>
      <c r="AB42" s="1560">
        <f t="shared" si="4"/>
        <v>1</v>
      </c>
      <c r="AC42" s="1560">
        <f t="shared" si="5"/>
        <v>1</v>
      </c>
    </row>
    <row r="43" spans="1:29" ht="15">
      <c r="A43" s="605" t="s">
        <v>556</v>
      </c>
      <c r="B43" s="606" t="s">
        <v>2932</v>
      </c>
      <c r="C43" s="607" t="s">
        <v>1</v>
      </c>
      <c r="D43" s="608"/>
      <c r="E43" s="609"/>
      <c r="F43" s="610"/>
      <c r="G43" s="611"/>
      <c r="H43" s="612"/>
      <c r="I43" s="609"/>
      <c r="J43" s="612"/>
      <c r="K43" s="1333"/>
      <c r="L43" s="2127"/>
      <c r="M43" s="2117"/>
      <c r="N43" s="2117"/>
      <c r="O43" s="2128"/>
      <c r="P43" s="3375" t="str">
        <f>A43</f>
        <v>成交单价</v>
      </c>
      <c r="Q43" s="3375"/>
      <c r="R43" s="3376">
        <f>E43</f>
        <v>0</v>
      </c>
      <c r="S43" s="3376"/>
      <c r="T43" s="3376">
        <f>G43</f>
        <v>0</v>
      </c>
      <c r="U43" s="3376"/>
      <c r="V43" s="3376">
        <f>I43</f>
        <v>0</v>
      </c>
      <c r="W43" s="3376"/>
      <c r="X43" s="1543"/>
      <c r="Y43" s="1565"/>
      <c r="Z43" s="1543"/>
      <c r="AA43" s="1543"/>
      <c r="AB43" s="1543"/>
      <c r="AC43" s="1543"/>
    </row>
    <row r="44" spans="1:29" ht="15.75" thickBot="1">
      <c r="A44" s="613" t="s">
        <v>2691</v>
      </c>
      <c r="B44" s="614"/>
      <c r="C44" s="615" t="e">
        <f>R45</f>
        <v>#DIV/0!</v>
      </c>
      <c r="D44" s="616"/>
      <c r="E44" s="615" t="e">
        <f>R44</f>
        <v>#DIV/0!</v>
      </c>
      <c r="F44" s="617"/>
      <c r="G44" s="618" t="e">
        <f>T44</f>
        <v>#DIV/0!</v>
      </c>
      <c r="H44" s="616"/>
      <c r="I44" s="615" t="e">
        <f>V44</f>
        <v>#DIV/0!</v>
      </c>
      <c r="J44" s="616"/>
      <c r="K44" s="1334"/>
      <c r="L44" s="2127"/>
      <c r="M44" s="2117"/>
      <c r="N44" s="2117"/>
      <c r="O44" s="2128"/>
      <c r="P44" s="3375" t="str">
        <f>A44</f>
        <v>比较价格（元/平方米）</v>
      </c>
      <c r="Q44" s="3375"/>
      <c r="R44" s="3377" t="e">
        <f>ROUND(PRODUCT(R43,AA9:AA42),0)</f>
        <v>#DIV/0!</v>
      </c>
      <c r="S44" s="3377"/>
      <c r="T44" s="3377" t="e">
        <f>ROUND(PRODUCT(T43,AB9:AB42),0)</f>
        <v>#DIV/0!</v>
      </c>
      <c r="U44" s="3377"/>
      <c r="V44" s="3377" t="e">
        <f>ROUND(PRODUCT(V43,AC9:AC42),0)</f>
        <v>#DIV/0!</v>
      </c>
      <c r="W44" s="3377"/>
      <c r="X44" s="1543"/>
      <c r="Y44" s="1543"/>
      <c r="Z44" s="1543"/>
      <c r="AA44" s="1543"/>
      <c r="AB44" s="1543"/>
      <c r="AC44" s="1543"/>
    </row>
    <row r="45" spans="1:29" ht="15.75" thickBot="1">
      <c r="A45" s="619" t="s">
        <v>2933</v>
      </c>
      <c r="B45" s="620"/>
      <c r="C45" s="621" t="e">
        <f>R45</f>
        <v>#DIV/0!</v>
      </c>
      <c r="D45" s="621"/>
      <c r="E45" s="621"/>
      <c r="F45" s="621"/>
      <c r="G45" s="621"/>
      <c r="H45" s="621"/>
      <c r="I45" s="621"/>
      <c r="J45" s="621"/>
      <c r="K45" s="1335"/>
      <c r="L45" s="2127"/>
      <c r="M45" s="2117"/>
      <c r="N45" s="2117"/>
      <c r="O45" s="2128"/>
      <c r="P45" s="3372" t="str">
        <f>A45</f>
        <v>估价对象XX用房的比较价格（楼面单价，元/平方米）</v>
      </c>
      <c r="Q45" s="3373"/>
      <c r="R45" s="3374" t="e">
        <f>ROUND(AVERAGE(R44:V44),0)</f>
        <v>#DIV/0!</v>
      </c>
      <c r="S45" s="3374"/>
      <c r="T45" s="3374"/>
      <c r="U45" s="3374"/>
      <c r="V45" s="3374"/>
      <c r="W45" s="3374"/>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1724</v>
      </c>
      <c r="D52" s="2210" t="s">
        <v>2292</v>
      </c>
      <c r="E52" s="629" t="s">
        <v>562</v>
      </c>
      <c r="F52" s="1934" t="s">
        <v>563</v>
      </c>
      <c r="G52" s="3421" t="s">
        <v>2283</v>
      </c>
      <c r="H52" s="3422"/>
      <c r="I52" s="1935" t="s">
        <v>1945</v>
      </c>
      <c r="J52" s="1539" t="str">
        <f>项目基本情况!F41</f>
        <v>山东省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1" t="s">
        <v>564</v>
      </c>
      <c r="B53" s="632" t="e">
        <f>C45</f>
        <v>#DIV/0!</v>
      </c>
      <c r="C53" s="633">
        <v>1</v>
      </c>
      <c r="D53" s="2211">
        <v>1</v>
      </c>
      <c r="E53" s="633">
        <f>'数据-汇总表'!E8+'数据-汇总表'!E9</f>
        <v>704420.41999999993</v>
      </c>
      <c r="F53" s="1933" t="e">
        <f t="shared" ref="F53:F62" si="15">ROUND(B53*E53/10000,0)</f>
        <v>#DIV/0!</v>
      </c>
      <c r="G53" s="3423"/>
      <c r="H53" s="3424"/>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5" t="s">
        <v>565</v>
      </c>
      <c r="B54" s="636" t="e">
        <f>ROUND($C$45*C54*D54,0)</f>
        <v>#DIV/0!</v>
      </c>
      <c r="C54" s="376">
        <f t="shared" ref="C54:C62" si="16">IF($C$52="北京市系数",I54,J54)</f>
        <v>0</v>
      </c>
      <c r="D54" s="2212">
        <v>0.25</v>
      </c>
      <c r="E54" s="637"/>
      <c r="F54" s="1933" t="e">
        <f t="shared" si="15"/>
        <v>#DIV/0!</v>
      </c>
      <c r="G54" s="3425"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5" t="s">
        <v>566</v>
      </c>
      <c r="B55" s="636" t="e">
        <f t="shared" ref="B55:B62" si="17">ROUND($C$45*C55*D55,0)</f>
        <v>#DIV/0!</v>
      </c>
      <c r="C55" s="376">
        <f t="shared" si="16"/>
        <v>0</v>
      </c>
      <c r="D55" s="2212">
        <v>0.25</v>
      </c>
      <c r="E55" s="637"/>
      <c r="F55" s="1933" t="e">
        <f t="shared" si="15"/>
        <v>#DIV/0!</v>
      </c>
      <c r="G55" s="3425"/>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5" t="s">
        <v>567</v>
      </c>
      <c r="B56" s="636" t="e">
        <f t="shared" si="17"/>
        <v>#DIV/0!</v>
      </c>
      <c r="C56" s="376">
        <f t="shared" si="16"/>
        <v>0</v>
      </c>
      <c r="D56" s="2212">
        <v>0.25</v>
      </c>
      <c r="E56" s="637"/>
      <c r="F56" s="1933" t="e">
        <f t="shared" si="15"/>
        <v>#DIV/0!</v>
      </c>
      <c r="G56" s="3425"/>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5" t="s">
        <v>568</v>
      </c>
      <c r="B57" s="636" t="e">
        <f t="shared" si="17"/>
        <v>#DIV/0!</v>
      </c>
      <c r="C57" s="376">
        <f t="shared" si="16"/>
        <v>0</v>
      </c>
      <c r="D57" s="2212">
        <v>0.25</v>
      </c>
      <c r="E57" s="637"/>
      <c r="F57" s="1933" t="e">
        <f t="shared" si="15"/>
        <v>#DIV/0!</v>
      </c>
      <c r="G57" s="3425"/>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2326</v>
      </c>
      <c r="B58" s="636" t="e">
        <f t="shared" si="17"/>
        <v>#DIV/0!</v>
      </c>
      <c r="C58" s="376">
        <f t="shared" si="16"/>
        <v>0</v>
      </c>
      <c r="D58" s="2212">
        <v>0.25</v>
      </c>
      <c r="E58" s="639">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5" t="s">
        <v>569</v>
      </c>
      <c r="B59" s="636" t="e">
        <f t="shared" si="17"/>
        <v>#DIV/0!</v>
      </c>
      <c r="C59" s="376">
        <f t="shared" si="16"/>
        <v>0</v>
      </c>
      <c r="D59" s="2212">
        <v>0.25</v>
      </c>
      <c r="E59" s="639">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5" t="s">
        <v>570</v>
      </c>
      <c r="B60" s="636" t="e">
        <f t="shared" si="17"/>
        <v>#DIV/0!</v>
      </c>
      <c r="C60" s="376">
        <f t="shared" si="16"/>
        <v>0</v>
      </c>
      <c r="D60" s="2212">
        <v>0.25</v>
      </c>
      <c r="E60" s="639">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5" t="s">
        <v>571</v>
      </c>
      <c r="B61" s="636" t="e">
        <f t="shared" si="17"/>
        <v>#DIV/0!</v>
      </c>
      <c r="C61" s="376">
        <f t="shared" si="16"/>
        <v>0</v>
      </c>
      <c r="D61" s="2212">
        <v>0.25</v>
      </c>
      <c r="E61" s="639">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5" t="s">
        <v>572</v>
      </c>
      <c r="B62" s="636" t="e">
        <f t="shared" si="17"/>
        <v>#DIV/0!</v>
      </c>
      <c r="C62" s="376">
        <f t="shared" si="16"/>
        <v>0</v>
      </c>
      <c r="D62" s="2212">
        <v>0.25</v>
      </c>
      <c r="E62" s="639">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0" t="s">
        <v>573</v>
      </c>
      <c r="B63" s="641" t="s">
        <v>17</v>
      </c>
      <c r="C63" s="641" t="s">
        <v>18</v>
      </c>
      <c r="D63" s="641" t="s">
        <v>2293</v>
      </c>
      <c r="E63" s="641">
        <f>IF(B43="楼面地价",SUM(E53:E62),'数据-汇总表'!D3)</f>
        <v>320191.09999999998</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2531</v>
      </c>
      <c r="B67" s="644"/>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3" customFormat="1" ht="27.75" customHeight="1">
      <c r="A68" s="2751" t="s">
        <v>2647</v>
      </c>
      <c r="B68" s="477" t="str">
        <f>"北京市平均增长率"&amp;TEXT(基准地价!P24,"0.00%")</f>
        <v>北京市平均增长率1.40%</v>
      </c>
      <c r="C68" s="891">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3"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3"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5"/>
      <c r="B93" s="1879" t="s">
        <v>2546</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5"/>
      <c r="B95" s="2559" t="s">
        <v>2548</v>
      </c>
      <c r="C95" s="2560" t="s">
        <v>2549</v>
      </c>
      <c r="D95" s="2560" t="s">
        <v>2550</v>
      </c>
      <c r="E95" s="2560" t="s">
        <v>2551</v>
      </c>
      <c r="F95" s="2560" t="s">
        <v>2552</v>
      </c>
      <c r="G95" s="2560" t="s">
        <v>2553</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6"/>
      <c r="B114" s="1879" t="s">
        <v>2423</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2424</v>
      </c>
      <c r="D1" s="1506">
        <f>SUM(D29:D30,D33:D39)</f>
        <v>0</v>
      </c>
      <c r="E1" s="1400" t="s">
        <v>2425</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2.2000000000000002</v>
      </c>
      <c r="H3" s="1408" t="s">
        <v>929</v>
      </c>
      <c r="I3" s="1037">
        <v>8</v>
      </c>
      <c r="J3" s="1404" t="s">
        <v>930</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7"/>
      <c r="L4" s="1868" t="s">
        <v>2240</v>
      </c>
      <c r="M4" s="1869">
        <f>SUMPRODUCT((区片价!B49:B75=I2)*(区片价!C3:F3=E2)*(区片价!C49:F75))</f>
        <v>0</v>
      </c>
      <c r="N4" s="1870">
        <f>SUMPRODUCT((因素修正幅度!B49:B75=I2)*(因素修正幅度!C3:F3=E2)*(因素修正幅度!C49:F75))</f>
        <v>0</v>
      </c>
      <c r="O4" s="3147"/>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70" t="e">
        <f>ROUND(C6+C16,0)</f>
        <v>#DIV/0!</v>
      </c>
      <c r="E5" s="3070"/>
      <c r="F5" s="1410"/>
      <c r="G5" s="1411"/>
      <c r="H5" s="1411"/>
      <c r="I5" s="1411"/>
      <c r="J5" s="1412"/>
      <c r="K5" s="3148"/>
      <c r="L5" s="1868" t="s">
        <v>2241</v>
      </c>
      <c r="M5" s="1869">
        <f>SUMPRODUCT((区片价!B76:B109=I2)*(区片价!C3:F3=E2)*(区片价!C76:F109))</f>
        <v>0</v>
      </c>
      <c r="N5" s="1870">
        <f>SUMPRODUCT((因素修正幅度!B76:B109=I2)*(因素修正幅度!C3:F3=E2)*(因素修正幅度!C76:F109))</f>
        <v>0</v>
      </c>
      <c r="O5" s="3148"/>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37" t="str">
        <f>IF(E2="商业",IF(C8="不临58条商业街","",2),"")</f>
        <v/>
      </c>
      <c r="B7" s="1421" t="s">
        <v>932</v>
      </c>
      <c r="C7" s="1040" t="e">
        <f>IF(C8="不临58条商业街",1,ROUND(1+(1.6*E8+1.2*E9+0.8*E10+0.4*E11)*C9,4))</f>
        <v>#DIV/0!</v>
      </c>
      <c r="D7" s="1422" t="s">
        <v>933</v>
      </c>
      <c r="E7" s="1041"/>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2763</v>
      </c>
      <c r="X7" s="2880">
        <f>G2</f>
        <v>0</v>
      </c>
      <c r="Y7" s="2880" t="s">
        <v>2764</v>
      </c>
      <c r="Z7" s="2881">
        <f>G3</f>
        <v>2.2000000000000002</v>
      </c>
      <c r="AA7" s="2175"/>
      <c r="AB7" s="2175"/>
      <c r="AC7" s="2176"/>
      <c r="AD7" s="2882"/>
      <c r="AE7" s="2882"/>
      <c r="AF7" s="2882"/>
      <c r="AG7" s="2882"/>
      <c r="AH7" s="2882"/>
      <c r="AI7" s="2882"/>
      <c r="AJ7" s="2883"/>
    </row>
    <row r="8" spans="1:39" ht="15">
      <c r="A8" s="3438"/>
      <c r="B8" s="1408" t="s">
        <v>934</v>
      </c>
      <c r="C8" s="1514"/>
      <c r="D8" s="1042" t="s">
        <v>935</v>
      </c>
      <c r="E8" s="1043" t="e">
        <f>ROUND(C11/E7,4)</f>
        <v>#DIV/0!</v>
      </c>
      <c r="F8" s="1426" t="s">
        <v>936</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27" t="s">
        <v>2781</v>
      </c>
      <c r="X8" s="3428"/>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38"/>
      <c r="B9" s="1408" t="s">
        <v>937</v>
      </c>
      <c r="C9" s="1044">
        <f>SUMIF(修正!C59:C119,C8,修正!E59:E119)</f>
        <v>0</v>
      </c>
      <c r="D9" s="1045" t="s">
        <v>938</v>
      </c>
      <c r="E9" s="1045" t="e">
        <f>ROUND(C11/E7,4)</f>
        <v>#DIV/0!</v>
      </c>
      <c r="F9" s="1426" t="s">
        <v>939</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26"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8"/>
      <c r="B10" s="1408" t="s">
        <v>940</v>
      </c>
      <c r="C10" s="1045">
        <f>SUMIF(修正!C59:C119,C8,修正!F59:F119)</f>
        <v>0</v>
      </c>
      <c r="D10" s="1045" t="s">
        <v>941</v>
      </c>
      <c r="E10" s="1045" t="e">
        <f>ROUND(C11/E7,4)</f>
        <v>#DIV/0!</v>
      </c>
      <c r="F10" s="1426" t="s">
        <v>942</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26"/>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8"/>
      <c r="B11" s="1429" t="s">
        <v>943</v>
      </c>
      <c r="C11" s="1046">
        <f>C10/4</f>
        <v>0</v>
      </c>
      <c r="D11" s="1046" t="s">
        <v>944</v>
      </c>
      <c r="E11" s="1046" t="e">
        <f>ROUND(C11/E7,4)</f>
        <v>#DIV/0!</v>
      </c>
      <c r="F11" s="1430" t="s">
        <v>945</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26" t="s">
        <v>2779</v>
      </c>
      <c r="X11" s="1045" t="s">
        <v>2764</v>
      </c>
      <c r="Y11" s="1636">
        <f>$G$3</f>
        <v>2.2000000000000002</v>
      </c>
      <c r="Z11" s="1636">
        <f t="shared" ref="Z11:AJ11" si="3">$G$3</f>
        <v>2.2000000000000002</v>
      </c>
      <c r="AA11" s="1636">
        <f t="shared" si="3"/>
        <v>2.2000000000000002</v>
      </c>
      <c r="AB11" s="1636">
        <f t="shared" si="3"/>
        <v>2.2000000000000002</v>
      </c>
      <c r="AC11" s="1636">
        <f t="shared" si="3"/>
        <v>2.2000000000000002</v>
      </c>
      <c r="AD11" s="1636">
        <f t="shared" si="3"/>
        <v>2.2000000000000002</v>
      </c>
      <c r="AE11" s="1636">
        <f t="shared" si="3"/>
        <v>2.2000000000000002</v>
      </c>
      <c r="AF11" s="1636">
        <f t="shared" si="3"/>
        <v>2.2000000000000002</v>
      </c>
      <c r="AG11" s="1636">
        <f t="shared" si="3"/>
        <v>2.2000000000000002</v>
      </c>
      <c r="AH11" s="1636">
        <f t="shared" si="3"/>
        <v>2.2000000000000002</v>
      </c>
      <c r="AI11" s="1636">
        <f t="shared" si="3"/>
        <v>2.2000000000000002</v>
      </c>
      <c r="AJ11" s="1636">
        <f t="shared" si="3"/>
        <v>2.2000000000000002</v>
      </c>
    </row>
    <row r="12" spans="1:39" ht="25.5" thickBot="1">
      <c r="A12" s="3437" t="s">
        <v>1871</v>
      </c>
      <c r="B12" s="1433" t="s">
        <v>946</v>
      </c>
      <c r="C12" s="1040">
        <f>ROUND(C15*D15*E15*F15*G15*H15*I15*J15,4)</f>
        <v>1</v>
      </c>
      <c r="D12" s="1434" t="s">
        <v>947</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26"/>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9"/>
      <c r="B13" s="1438" t="s">
        <v>1696</v>
      </c>
      <c r="C13" s="1439" t="s">
        <v>1697</v>
      </c>
      <c r="D13" s="1082" t="s">
        <v>1698</v>
      </c>
      <c r="E13" s="1082" t="s">
        <v>1699</v>
      </c>
      <c r="F13" s="1440" t="s">
        <v>948</v>
      </c>
      <c r="G13" s="1441" t="s">
        <v>1642</v>
      </c>
      <c r="H13" s="1442" t="s">
        <v>1642</v>
      </c>
      <c r="I13" s="1443" t="s">
        <v>1642</v>
      </c>
      <c r="J13" s="1444" t="s">
        <v>1642</v>
      </c>
      <c r="K13" s="3163"/>
      <c r="L13" s="3163"/>
      <c r="M13" s="3163"/>
      <c r="N13" s="3163"/>
      <c r="O13" s="3163"/>
      <c r="P13" s="1395"/>
      <c r="Q13" s="2172"/>
      <c r="R13" s="2890">
        <v>12</v>
      </c>
      <c r="S13" s="2879"/>
      <c r="T13" s="2890" t="e">
        <f t="shared" si="0"/>
        <v>#DIV/0!</v>
      </c>
      <c r="U13" s="2879"/>
      <c r="V13" s="2890" t="e">
        <f t="shared" si="1"/>
        <v>#DIV/0!</v>
      </c>
      <c r="W13" s="3426"/>
      <c r="X13" s="2887"/>
      <c r="Y13" s="2886">
        <f>(-0.163*(Y12^2)-0.59*Y12+7617)*(10^(-4))/Y11</f>
        <v>0.34622727272727272</v>
      </c>
      <c r="Z13" s="2886">
        <f t="shared" ref="Z13:AJ13" si="5">(-0.163*(Z12^2)-0.59*Z12+7617)*(10^(-4))/Z11</f>
        <v>0.34622727272727272</v>
      </c>
      <c r="AA13" s="2886">
        <f t="shared" si="5"/>
        <v>0.34622727272727272</v>
      </c>
      <c r="AB13" s="2886">
        <f t="shared" si="5"/>
        <v>0.34622727272727272</v>
      </c>
      <c r="AC13" s="2886">
        <f t="shared" si="5"/>
        <v>0.34622727272727272</v>
      </c>
      <c r="AD13" s="2886">
        <f t="shared" si="5"/>
        <v>0.34622727272727272</v>
      </c>
      <c r="AE13" s="2886">
        <f t="shared" si="5"/>
        <v>0.34622727272727272</v>
      </c>
      <c r="AF13" s="2886">
        <f t="shared" si="5"/>
        <v>0.34622727272727272</v>
      </c>
      <c r="AG13" s="2886">
        <f t="shared" si="5"/>
        <v>0.34622727272727272</v>
      </c>
      <c r="AH13" s="2886">
        <f t="shared" si="5"/>
        <v>0.34622727272727272</v>
      </c>
      <c r="AI13" s="2886">
        <f t="shared" si="5"/>
        <v>0.34622727272727272</v>
      </c>
      <c r="AJ13" s="2886">
        <f t="shared" si="5"/>
        <v>0.34622727272727272</v>
      </c>
    </row>
    <row r="14" spans="1:39" ht="12.75" customHeight="1">
      <c r="A14" s="3439"/>
      <c r="B14" s="1445"/>
      <c r="C14" s="1446"/>
      <c r="D14" s="1447"/>
      <c r="E14" s="1447"/>
      <c r="F14" s="1448"/>
      <c r="G14" s="1449" t="s">
        <v>949</v>
      </c>
      <c r="H14" s="1450"/>
      <c r="I14" s="1451"/>
      <c r="J14" s="1452"/>
      <c r="K14" s="3149"/>
      <c r="L14" s="3149"/>
      <c r="M14" s="3149"/>
      <c r="N14" s="3149"/>
      <c r="O14" s="3149"/>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40"/>
      <c r="B15" s="3168" t="s">
        <v>1700</v>
      </c>
      <c r="C15" s="1046">
        <f>IF(C14="有",1.1,1)</f>
        <v>1</v>
      </c>
      <c r="D15" s="1046">
        <f>IF(D14="有",1.1,1)</f>
        <v>1</v>
      </c>
      <c r="E15" s="1046">
        <f>IF(E14="有",1.1,1)</f>
        <v>1</v>
      </c>
      <c r="F15" s="1046">
        <f>IF(F14="500米范围内",1.2,IF(F14="500-1000米",1.1,1))</f>
        <v>1</v>
      </c>
      <c r="G15" s="3160">
        <v>1</v>
      </c>
      <c r="H15" s="3160">
        <v>1</v>
      </c>
      <c r="I15" s="3160">
        <v>1</v>
      </c>
      <c r="J15" s="3161">
        <v>1</v>
      </c>
      <c r="K15" s="3164"/>
      <c r="L15" s="3164"/>
      <c r="M15" s="3164"/>
      <c r="N15" s="3164"/>
      <c r="O15" s="3164"/>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7" t="s">
        <v>1838</v>
      </c>
      <c r="B16" s="1421" t="s">
        <v>950</v>
      </c>
      <c r="C16" s="1049" t="e">
        <f>ROUND(IF(F17="与级别开发程度一致",0,(G17-E17)/C17),0)</f>
        <v>#DIV/0!</v>
      </c>
      <c r="D16" s="3434" t="s">
        <v>954</v>
      </c>
      <c r="E16" s="3435"/>
      <c r="F16" s="3434" t="s">
        <v>951</v>
      </c>
      <c r="G16" s="3435"/>
      <c r="H16" s="1453"/>
      <c r="I16" s="1453"/>
      <c r="J16" s="1453"/>
      <c r="K16" s="1453"/>
      <c r="L16" s="1453"/>
      <c r="M16" s="1453"/>
      <c r="N16" s="1453"/>
      <c r="O16" s="3173"/>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41"/>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7">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9" t="s">
        <v>955</v>
      </c>
      <c r="C18" s="3170">
        <f>SUMIF(修正!C18:C39,E3,修正!E18:E39)</f>
        <v>0</v>
      </c>
      <c r="D18" s="3171"/>
      <c r="E18" s="3172"/>
      <c r="F18" s="3154"/>
      <c r="G18" s="3148"/>
      <c r="H18" s="3148"/>
      <c r="I18" s="3148"/>
      <c r="J18" s="3162"/>
      <c r="K18" s="3148"/>
      <c r="L18" s="3148"/>
      <c r="M18" s="3148"/>
      <c r="N18" s="3148"/>
      <c r="O18" s="3148"/>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ROUND(IF(H19="按公示增长率计算",SUMPRODUCT((地价!A3:A27=YEAR(G19)&amp;"-"&amp;ROUNDUP(MONTH(G19)/3,0))*(地价!X2:AB2=E2)*(地价!X3:AB27)),IF(H19="地价指数",M20/M19,(1+I19)^O19)),4)</f>
        <v>0</v>
      </c>
      <c r="D19" s="1460" t="s">
        <v>957</v>
      </c>
      <c r="E19" s="1051">
        <v>41640</v>
      </c>
      <c r="F19" s="1460" t="s">
        <v>958</v>
      </c>
      <c r="G19" s="1052">
        <f>'数据-取费表'!B2</f>
        <v>43665</v>
      </c>
      <c r="H19" s="1461" t="s">
        <v>2993</v>
      </c>
      <c r="I19" s="2738" t="str">
        <f>IF(H19="季度增幅（自定义）",SUMIF(N21:N24,E2,O21:O24),"")</f>
        <v/>
      </c>
      <c r="J19" s="1457"/>
      <c r="K19" s="3148"/>
      <c r="L19" s="2990" t="s">
        <v>2839</v>
      </c>
      <c r="M19" s="2991">
        <f>ROUND(SUMIF(地价!B2:F2,E2,地价!B27:F27),0)</f>
        <v>0</v>
      </c>
      <c r="N19" s="2740" t="s">
        <v>1676</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t="e">
        <f>ROUND(POWER(1+G20,J20-I20)*(POWER(1+G20,I20)-1)/(POWER(1+G20,J20)-1),4)</f>
        <v>#DIV/0!</v>
      </c>
      <c r="D20" s="2735" t="s">
        <v>972</v>
      </c>
      <c r="E20" s="3045">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50"/>
      <c r="L20" s="2992" t="s">
        <v>2840</v>
      </c>
      <c r="M20" s="3157">
        <f>ROUND(SUMPRODUCT((地价!A4:A27=YEAR(G19)&amp;"-"&amp;ROUNDUP(MONTH(G19)/3,0))*(地价!B2:F2=E2)*(地价!B4:F27)),0)</f>
        <v>0</v>
      </c>
      <c r="N20" s="2743" t="s">
        <v>2643</v>
      </c>
      <c r="O20" s="2741" t="s">
        <v>2642</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2759</v>
      </c>
      <c r="C21" s="1151">
        <f>IF(B21="容积率修正",IF(G3&lt;=10,D22,J22),C23)</f>
        <v>0</v>
      </c>
      <c r="D21" s="1467"/>
      <c r="E21" s="1467"/>
      <c r="F21" s="1467"/>
      <c r="G21" s="1467"/>
      <c r="H21" s="1467"/>
      <c r="I21" s="1467"/>
      <c r="J21" s="1468"/>
      <c r="K21" s="3148"/>
      <c r="L21" s="1467"/>
      <c r="M21" s="1467"/>
      <c r="N21" s="1464" t="s">
        <v>975</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2.2000000000000002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51"/>
      <c r="L22" s="1467"/>
      <c r="M22" s="1467"/>
      <c r="N22" s="1464" t="s">
        <v>978</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52"/>
      <c r="L23" s="1395"/>
      <c r="M23" s="1395"/>
      <c r="N23" s="1464" t="s">
        <v>923</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52"/>
      <c r="L24" s="1467"/>
      <c r="M24" s="1467"/>
      <c r="N24" s="1464" t="s">
        <v>981</v>
      </c>
      <c r="O24" s="3156"/>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8" t="s">
        <v>2646</v>
      </c>
      <c r="O25" s="3159"/>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3"/>
      <c r="L29" s="3153"/>
      <c r="M29" s="3153"/>
      <c r="N29" s="3153"/>
      <c r="O29" s="3153"/>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4"/>
      <c r="L32" s="3154"/>
      <c r="M32" s="3154"/>
      <c r="N32" s="3154"/>
      <c r="O32" s="3154"/>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44" t="s">
        <v>2958</v>
      </c>
      <c r="B33" s="1509" t="s">
        <v>999</v>
      </c>
      <c r="C33" s="1056" t="e">
        <f>ROUND(D5*C19*C20*C24*F33,0)</f>
        <v>#DIV/0!</v>
      </c>
      <c r="D33" s="1522"/>
      <c r="E33" s="1045" t="e">
        <f>ROUND(C33*D33/10000,0)</f>
        <v>#DIV/0!</v>
      </c>
      <c r="F33" s="1045">
        <f>SUMIF(修正!A45:A56,G2,修正!B45:B56)</f>
        <v>0</v>
      </c>
      <c r="G33" s="1045" t="e">
        <f t="shared" ref="G33" si="6">ROUND(IF(E2="工业",C33*$M$39,C33*$M$38),0)</f>
        <v>#DIV/0!</v>
      </c>
      <c r="H33" s="1045">
        <f>D33</f>
        <v>0</v>
      </c>
      <c r="I33" s="1045" t="e">
        <f>ROUND(G33*H33/10000,0)</f>
        <v>#DIV/0!</v>
      </c>
      <c r="J33" s="1510"/>
      <c r="K33" s="3155"/>
      <c r="L33" s="3155"/>
      <c r="M33" s="3155"/>
      <c r="N33" s="3155"/>
      <c r="O33" s="3155"/>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45"/>
      <c r="B34" s="1439" t="s">
        <v>1000</v>
      </c>
      <c r="C34" s="1056" t="e">
        <f>ROUND(D5*C19*C20*C24*F34,0)</f>
        <v>#DIV/0!</v>
      </c>
      <c r="D34" s="152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10"/>
      <c r="K34" s="3155"/>
      <c r="L34" s="3155"/>
      <c r="M34" s="3155"/>
      <c r="N34" s="3155"/>
      <c r="O34" s="3155"/>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45"/>
      <c r="B35" s="1439" t="s">
        <v>1001</v>
      </c>
      <c r="C35" s="1056" t="e">
        <f>ROUND(D5*C19*C20*C24*F35,0)</f>
        <v>#DIV/0!</v>
      </c>
      <c r="D35" s="1522"/>
      <c r="E35" s="1045" t="e">
        <f t="shared" si="7"/>
        <v>#DIV/0!</v>
      </c>
      <c r="F35" s="1045">
        <f>SUMIF(修正!A45:A56,G2,修正!D45:D56)</f>
        <v>0</v>
      </c>
      <c r="G35" s="1045" t="e">
        <f>ROUND(IF(E2="工业",C35*$M$39,C35*$M$38),0)</f>
        <v>#DIV/0!</v>
      </c>
      <c r="H35" s="1045">
        <f t="shared" si="8"/>
        <v>0</v>
      </c>
      <c r="I35" s="1045" t="e">
        <f t="shared" si="9"/>
        <v>#DIV/0!</v>
      </c>
      <c r="J35" s="1510"/>
      <c r="K35" s="3155"/>
      <c r="L35" s="3155"/>
      <c r="M35" s="3155"/>
      <c r="N35" s="3155"/>
      <c r="O35" s="3155"/>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46"/>
      <c r="B36" s="1439" t="s">
        <v>1002</v>
      </c>
      <c r="C36" s="1056" t="e">
        <f>ROUND(D5*C19*C20*C24*F36,0)</f>
        <v>#DIV/0!</v>
      </c>
      <c r="D36" s="1522"/>
      <c r="E36" s="1045" t="e">
        <f t="shared" si="7"/>
        <v>#DIV/0!</v>
      </c>
      <c r="F36" s="1045">
        <f>SUMIF(修正!A45:A56,G2,修正!E45:E56)</f>
        <v>0</v>
      </c>
      <c r="G36" s="1045" t="e">
        <f>ROUND(IF(E2="工业",C36*$M$39,C36*$M$38),0)</f>
        <v>#DIV/0!</v>
      </c>
      <c r="H36" s="1045">
        <f t="shared" si="8"/>
        <v>0</v>
      </c>
      <c r="I36" s="1045" t="e">
        <f t="shared" si="9"/>
        <v>#DIV/0!</v>
      </c>
      <c r="J36" s="1510"/>
      <c r="K36" s="3155"/>
      <c r="L36" s="3155"/>
      <c r="M36" s="3155"/>
      <c r="N36" s="3155"/>
      <c r="O36" s="3155"/>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7"/>
        <v>#DIV/0!</v>
      </c>
      <c r="F37" s="1056">
        <f>SUMIF(修正!A45:A56,G2,修正!F45:F56)</f>
        <v>0</v>
      </c>
      <c r="G37" s="1045" t="e">
        <f>ROUND(IF(E2="工业",C37*$M$39,C37*$M$38),0)</f>
        <v>#DIV/0!</v>
      </c>
      <c r="H37" s="1045">
        <f t="shared" si="8"/>
        <v>0</v>
      </c>
      <c r="I37" s="1045"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7"/>
        <v>#DIV/0!</v>
      </c>
      <c r="F38" s="1056">
        <f>SUMIF(修正!A45:A56,G2,修正!G45:G56)</f>
        <v>0</v>
      </c>
      <c r="G38" s="1045" t="e">
        <f>ROUND(IF(E2="工业",C38*$M$39,C38*$M$38),0)</f>
        <v>#DIV/0!</v>
      </c>
      <c r="H38" s="1045">
        <f t="shared" si="8"/>
        <v>0</v>
      </c>
      <c r="I38" s="1045"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7"/>
        <v>#DIV/0!</v>
      </c>
      <c r="F39" s="1058">
        <f>SUMIF(修正!A45:A56,G2,修正!H45:H56)</f>
        <v>0</v>
      </c>
      <c r="G39" s="1048" t="e">
        <f>ROUND(IF(E2="工业",C39*$M$39,C39*$M$38),0)</f>
        <v>#DIV/0!</v>
      </c>
      <c r="H39" s="1048">
        <f t="shared" si="8"/>
        <v>0</v>
      </c>
      <c r="I39" s="1048"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6" t="s">
        <v>2985</v>
      </c>
      <c r="C41" s="837" t="e">
        <f>ROUND(POWER(1+E41,H41-G41)*(POWER(1+E41,G41)-1)/(POWER(1+E41,H41)-1),4)</f>
        <v>#DIV/0!</v>
      </c>
      <c r="D41" s="376" t="s">
        <v>2983</v>
      </c>
      <c r="E41" s="3145">
        <f>G20</f>
        <v>0</v>
      </c>
      <c r="F41" s="376" t="s">
        <v>2984</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70" t="s">
        <v>1009</v>
      </c>
      <c r="C46" s="2392" t="s">
        <v>1010</v>
      </c>
      <c r="D46" s="2393" t="s">
        <v>1011</v>
      </c>
      <c r="E46" s="2394" t="s">
        <v>1013</v>
      </c>
      <c r="F46" s="2395" t="s">
        <v>2249</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3" t="str">
        <f>估价对象房地状况!C16</f>
        <v>估价对象位于XX商圈，周边商业氛围成熟，人流量大，商业繁华度好</v>
      </c>
      <c r="C47" s="1047"/>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70" t="str">
        <f>估价对象房地状况!C18</f>
        <v>估价对象周边道路状况、公共交通通达情况、停车便捷程度，综合评价交通便捷度较好</v>
      </c>
      <c r="C48" s="1047"/>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70">
        <f>估价对象房地状况!C19</f>
        <v>0</v>
      </c>
      <c r="C49" s="1047"/>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7" t="s">
        <v>2935</v>
      </c>
      <c r="C50" s="1047"/>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70">
        <f>估价对象房地状况!C24</f>
        <v>0</v>
      </c>
      <c r="C51" s="1047"/>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6" t="s">
        <v>2934</v>
      </c>
      <c r="C52" s="1047"/>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7"/>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7"/>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7"/>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70"/>
      <c r="C57" s="2392" t="s">
        <v>1010</v>
      </c>
      <c r="D57" s="2393" t="s">
        <v>1011</v>
      </c>
      <c r="E57" s="2394" t="s">
        <v>1013</v>
      </c>
      <c r="F57" s="2395" t="s">
        <v>2250</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3" t="str">
        <f>估价对象房地状况!C17</f>
        <v>估价对象位于XX商圈，周边办公楼项目较多，入驻率高，办公集聚程度较好</v>
      </c>
      <c r="C58" s="1047"/>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70" t="str">
        <f>估价对象房地状况!C18</f>
        <v>估价对象周边道路状况、公共交通通达情况、停车便捷程度，综合评价交通便捷度较好</v>
      </c>
      <c r="C59" s="1047"/>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70">
        <f>估价对象房地状况!C19</f>
        <v>0</v>
      </c>
      <c r="C60" s="1047"/>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7" t="s">
        <v>2936</v>
      </c>
      <c r="C61" s="1047"/>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70">
        <f>估价对象房地状况!C24</f>
        <v>0</v>
      </c>
      <c r="C62" s="1047"/>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6" t="s">
        <v>2934</v>
      </c>
      <c r="C63" s="1047"/>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71" t="str">
        <f>估价对象房地状况!C21</f>
        <v>估价对象所在区域公共配套设施齐备情况</v>
      </c>
      <c r="C64" s="1047"/>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71" t="str">
        <f>估价对象房地状况!C22</f>
        <v>估价对象所在区域基础设施水平</v>
      </c>
      <c r="C65" s="1047"/>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7"/>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70"/>
      <c r="C68" s="2392" t="s">
        <v>1010</v>
      </c>
      <c r="D68" s="2393" t="s">
        <v>1011</v>
      </c>
      <c r="E68" s="2394" t="s">
        <v>1013</v>
      </c>
      <c r="F68" s="2395" t="s">
        <v>2251</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3" t="str">
        <f>估价对象房地状况!C15</f>
        <v>估价对象周边居住用地比例、居住小区规模和社区发展完善程度，综合评价居住社区成熟度一般</v>
      </c>
      <c r="C69" s="1152"/>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70" t="str">
        <f>估价对象房地状况!C18</f>
        <v>估价对象周边道路状况、公共交通通达情况、停车便捷程度，综合评价交通便捷度较好</v>
      </c>
      <c r="C70" s="1152"/>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70">
        <f>估价对象房地状况!C19</f>
        <v>0</v>
      </c>
      <c r="C71" s="1152"/>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70">
        <f>估价对象房地状况!C24</f>
        <v>0</v>
      </c>
      <c r="C72" s="1152"/>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71" t="str">
        <f>估价对象房地状况!C21</f>
        <v>估价对象所在区域公共配套设施齐备情况</v>
      </c>
      <c r="C73" s="1152"/>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71" t="str">
        <f>估价对象房地状况!C22</f>
        <v>估价对象所在区域基础设施水平</v>
      </c>
      <c r="C74" s="1152"/>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6" t="s">
        <v>2934</v>
      </c>
      <c r="C75" s="1152"/>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3" t="str">
        <f>估价对象房地状况!C20</f>
        <v>区域自然环境：；人文环境；综合评价环境状况一般</v>
      </c>
      <c r="C76" s="1152"/>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2"/>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59"/>
      <c r="K78" s="1059"/>
      <c r="L78" s="1059"/>
      <c r="M78" s="1059"/>
      <c r="N78" s="1059"/>
      <c r="AC78" s="1399"/>
      <c r="AD78" s="1398"/>
      <c r="AJ78" s="1397"/>
      <c r="AN78" s="1398"/>
    </row>
    <row r="79" spans="1:40" ht="24">
      <c r="A79" s="1060" t="s">
        <v>1008</v>
      </c>
      <c r="B79" s="2370"/>
      <c r="C79" s="2392" t="s">
        <v>1010</v>
      </c>
      <c r="D79" s="2393" t="s">
        <v>1011</v>
      </c>
      <c r="E79" s="2394" t="s">
        <v>1013</v>
      </c>
      <c r="F79" s="2395" t="s">
        <v>2252</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36">
      <c r="A80" s="1060" t="s">
        <v>1037</v>
      </c>
      <c r="B80" s="2370" t="str">
        <f>估价对象房地状况!G15</f>
        <v>估价对象位于XX开发区，园区建设成熟度XX，产业集聚程度XX</v>
      </c>
      <c r="C80" s="1047"/>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0" t="s">
        <v>1033</v>
      </c>
      <c r="B81" s="2370" t="str">
        <f>估价对象房地状况!G16</f>
        <v>估价对象周边道路状况、公共交通通达情况、停车便捷程度，综合评价交通便捷度较好</v>
      </c>
      <c r="C81" s="1047"/>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0" t="s">
        <v>1022</v>
      </c>
      <c r="B82" s="2370">
        <f>估价对象房地状况!G17</f>
        <v>0</v>
      </c>
      <c r="C82" s="1047"/>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0" t="s">
        <v>1034</v>
      </c>
      <c r="B83" s="2370">
        <f>估价对象房地状况!G22</f>
        <v>0</v>
      </c>
      <c r="C83" s="1047"/>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0" t="s">
        <v>1026</v>
      </c>
      <c r="B84" s="2371" t="str">
        <f>估价对象房地状况!G19</f>
        <v>估价对象所在区域公共配套设施齐备情况</v>
      </c>
      <c r="C84" s="1047"/>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0" t="s">
        <v>1027</v>
      </c>
      <c r="B85" s="2371" t="str">
        <f>估价对象房地状况!G20</f>
        <v>估价对象所在区域基础设施水平</v>
      </c>
      <c r="C85" s="1047"/>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0" t="s">
        <v>1025</v>
      </c>
      <c r="B86" s="3046" t="s">
        <v>2934</v>
      </c>
      <c r="C86" s="1047"/>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7"/>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42" t="s">
        <v>1633</v>
      </c>
      <c r="B90" s="3442"/>
      <c r="C90" s="3442"/>
      <c r="D90" s="3442"/>
      <c r="E90" s="3442"/>
      <c r="F90" s="3442"/>
      <c r="G90" s="3442"/>
      <c r="H90" s="3442"/>
      <c r="I90" s="3442"/>
      <c r="J90" s="3442"/>
      <c r="K90" s="2412"/>
      <c r="L90" s="2412"/>
      <c r="M90" s="2412"/>
      <c r="N90" s="2412"/>
    </row>
    <row r="91" spans="1:40">
      <c r="A91" s="3443" t="s">
        <v>1443</v>
      </c>
      <c r="B91" s="3443" t="s">
        <v>1634</v>
      </c>
      <c r="C91" s="1133" t="s">
        <v>1635</v>
      </c>
      <c r="D91" s="1134"/>
      <c r="E91" s="1134"/>
      <c r="F91" s="1134"/>
      <c r="G91" s="1134"/>
      <c r="H91" s="1134"/>
      <c r="I91" s="1134"/>
      <c r="J91" s="1135"/>
      <c r="K91" s="1127"/>
      <c r="L91" s="1127"/>
      <c r="M91" s="1127"/>
      <c r="N91" s="1127"/>
    </row>
    <row r="92" spans="1:40">
      <c r="A92" s="3443"/>
      <c r="B92" s="3443"/>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9"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0"/>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29" t="s">
        <v>1637</v>
      </c>
      <c r="B101" s="1140" t="s">
        <v>906</v>
      </c>
      <c r="C101" s="1141">
        <f>$G$3</f>
        <v>2.2000000000000002</v>
      </c>
      <c r="D101" s="1141">
        <f t="shared" ref="D101:N101" si="31">$G$3</f>
        <v>2.2000000000000002</v>
      </c>
      <c r="E101" s="1141">
        <f t="shared" si="31"/>
        <v>2.2000000000000002</v>
      </c>
      <c r="F101" s="1141">
        <f t="shared" si="31"/>
        <v>2.2000000000000002</v>
      </c>
      <c r="G101" s="1141">
        <f t="shared" si="31"/>
        <v>2.2000000000000002</v>
      </c>
      <c r="H101" s="1141">
        <f t="shared" si="31"/>
        <v>2.2000000000000002</v>
      </c>
      <c r="I101" s="1141">
        <f t="shared" si="31"/>
        <v>2.2000000000000002</v>
      </c>
      <c r="J101" s="1141">
        <f t="shared" si="31"/>
        <v>2.2000000000000002</v>
      </c>
      <c r="K101" s="1141">
        <f t="shared" si="31"/>
        <v>2.2000000000000002</v>
      </c>
      <c r="L101" s="1141">
        <f t="shared" si="31"/>
        <v>2.2000000000000002</v>
      </c>
      <c r="M101" s="1141">
        <f t="shared" si="31"/>
        <v>2.2000000000000002</v>
      </c>
      <c r="N101" s="1141">
        <f t="shared" si="31"/>
        <v>2.2000000000000002</v>
      </c>
    </row>
    <row r="102" spans="1:14">
      <c r="A102" s="3430"/>
      <c r="B102" s="1136">
        <v>1</v>
      </c>
      <c r="C102" s="1137">
        <f>1.9362/C101</f>
        <v>0.88009090909090903</v>
      </c>
      <c r="D102" s="1137">
        <f>1.9362/D101</f>
        <v>0.88009090909090903</v>
      </c>
      <c r="E102" s="1137">
        <f>1.8629/E101</f>
        <v>0.84677272727272723</v>
      </c>
      <c r="F102" s="1137">
        <f>1.8629/F101</f>
        <v>0.84677272727272723</v>
      </c>
      <c r="G102" s="1137">
        <f>1.8629/G101</f>
        <v>0.84677272727272723</v>
      </c>
      <c r="H102" s="1137">
        <f>1.8629/H101</f>
        <v>0.84677272727272723</v>
      </c>
      <c r="I102" s="1137">
        <f>1.8629/I101</f>
        <v>0.84677272727272723</v>
      </c>
      <c r="J102" s="1137">
        <f>1.942/J101</f>
        <v>0.88272727272727258</v>
      </c>
      <c r="K102" s="1137">
        <f>1.942/K101</f>
        <v>0.88272727272727258</v>
      </c>
      <c r="L102" s="1137">
        <f>1.942/L101</f>
        <v>0.88272727272727258</v>
      </c>
      <c r="M102" s="1137">
        <f>1.942/M101</f>
        <v>0.88272727272727258</v>
      </c>
      <c r="N102" s="1137">
        <f>1.942/N101</f>
        <v>0.88272727272727258</v>
      </c>
    </row>
    <row r="103" spans="1:14">
      <c r="A103" s="3430"/>
      <c r="B103" s="1136">
        <v>2</v>
      </c>
      <c r="C103" s="1137">
        <f>1.4198/C101</f>
        <v>0.64536363636363625</v>
      </c>
      <c r="D103" s="1137">
        <f>1.4198/D101</f>
        <v>0.64536363636363625</v>
      </c>
      <c r="E103" s="1137">
        <f>1.3372/E101</f>
        <v>0.6078181818181817</v>
      </c>
      <c r="F103" s="1137">
        <f>1.3372/F101</f>
        <v>0.6078181818181817</v>
      </c>
      <c r="G103" s="1137">
        <f>1.3372/G101</f>
        <v>0.6078181818181817</v>
      </c>
      <c r="H103" s="1137">
        <f>1.3372/H101</f>
        <v>0.6078181818181817</v>
      </c>
      <c r="I103" s="1137">
        <f>1.3372/I101</f>
        <v>0.6078181818181817</v>
      </c>
      <c r="J103" s="1137">
        <f>1.2799/J101</f>
        <v>0.58177272727272722</v>
      </c>
      <c r="K103" s="1137">
        <f>1.2799/K101</f>
        <v>0.58177272727272722</v>
      </c>
      <c r="L103" s="1137">
        <f>1.2799/L101</f>
        <v>0.58177272727272722</v>
      </c>
      <c r="M103" s="1137">
        <f>1.2799/M101</f>
        <v>0.58177272727272722</v>
      </c>
      <c r="N103" s="1137">
        <f>1.2799/N101</f>
        <v>0.58177272727272722</v>
      </c>
    </row>
    <row r="104" spans="1:14">
      <c r="A104" s="3430"/>
      <c r="B104" s="1136">
        <v>3</v>
      </c>
      <c r="C104" s="1137">
        <f>1.1594/C101</f>
        <v>0.52699999999999991</v>
      </c>
      <c r="D104" s="1137">
        <f>1.1594/D101</f>
        <v>0.52699999999999991</v>
      </c>
      <c r="E104" s="1137">
        <f>1.0788/E101</f>
        <v>0.49036363636363633</v>
      </c>
      <c r="F104" s="1137">
        <f>1.0788/F101</f>
        <v>0.49036363636363633</v>
      </c>
      <c r="G104" s="1137">
        <f>1.0788/G101</f>
        <v>0.49036363636363633</v>
      </c>
      <c r="H104" s="1137">
        <f>1.0788/H101</f>
        <v>0.49036363636363633</v>
      </c>
      <c r="I104" s="1137">
        <f>1.0788/I101</f>
        <v>0.49036363636363633</v>
      </c>
      <c r="J104" s="1137">
        <f>1.0072/J101</f>
        <v>0.45781818181818185</v>
      </c>
      <c r="K104" s="1137">
        <f>1.0072/K101</f>
        <v>0.45781818181818185</v>
      </c>
      <c r="L104" s="1137">
        <f>1.0072/L101</f>
        <v>0.45781818181818185</v>
      </c>
      <c r="M104" s="1137">
        <f>1.0072/M101</f>
        <v>0.45781818181818185</v>
      </c>
      <c r="N104" s="1137">
        <f>1.0072/N101</f>
        <v>0.45781818181818185</v>
      </c>
    </row>
    <row r="105" spans="1:14">
      <c r="A105" s="3430"/>
      <c r="B105" s="1136">
        <v>4</v>
      </c>
      <c r="C105" s="1137">
        <f>0.9622/C101</f>
        <v>0.43736363636363634</v>
      </c>
      <c r="D105" s="1137">
        <f>0.9622/D101</f>
        <v>0.43736363636363634</v>
      </c>
      <c r="E105" s="1137">
        <f>0.8656/E101</f>
        <v>0.39345454545454545</v>
      </c>
      <c r="F105" s="1137">
        <f>0.8656/F101</f>
        <v>0.39345454545454545</v>
      </c>
      <c r="G105" s="1137">
        <f>0.8656/G101</f>
        <v>0.39345454545454545</v>
      </c>
      <c r="H105" s="1137">
        <f>0.8656/H101</f>
        <v>0.39345454545454545</v>
      </c>
      <c r="I105" s="1137">
        <f>0.8656/I101</f>
        <v>0.39345454545454545</v>
      </c>
      <c r="J105" s="1137">
        <f>0.7525/J101</f>
        <v>0.34204545454545449</v>
      </c>
      <c r="K105" s="1137">
        <f>0.7525/K101</f>
        <v>0.34204545454545449</v>
      </c>
      <c r="L105" s="1137">
        <f>0.7525/L101</f>
        <v>0.34204545454545449</v>
      </c>
      <c r="M105" s="1137">
        <f>0.7525/M101</f>
        <v>0.34204545454545449</v>
      </c>
      <c r="N105" s="1137">
        <f>0.7525/N101</f>
        <v>0.34204545454545449</v>
      </c>
    </row>
    <row r="106" spans="1:14">
      <c r="A106" s="3430"/>
      <c r="B106" s="1136">
        <v>5</v>
      </c>
      <c r="C106" s="1137">
        <f>0.8417/C101</f>
        <v>0.38259090909090904</v>
      </c>
      <c r="D106" s="1137">
        <f>0.8417/D101</f>
        <v>0.38259090909090904</v>
      </c>
      <c r="E106" s="1137">
        <f>0.7371/E101</f>
        <v>0.33504545454545454</v>
      </c>
      <c r="F106" s="1137">
        <f>0.7371/F101</f>
        <v>0.33504545454545454</v>
      </c>
      <c r="G106" s="1137">
        <f>0.7371/G101</f>
        <v>0.33504545454545454</v>
      </c>
      <c r="H106" s="1137">
        <f>0.7371/H101</f>
        <v>0.33504545454545454</v>
      </c>
      <c r="I106" s="1137">
        <f>0.7371/I101</f>
        <v>0.33504545454545454</v>
      </c>
      <c r="J106" s="1137">
        <f>0.5659/J101</f>
        <v>0.25722727272727269</v>
      </c>
      <c r="K106" s="1137">
        <f>0.5659/K101</f>
        <v>0.25722727272727269</v>
      </c>
      <c r="L106" s="1137">
        <f>0.5659/L101</f>
        <v>0.25722727272727269</v>
      </c>
      <c r="M106" s="1137">
        <f>0.5659/M101</f>
        <v>0.25722727272727269</v>
      </c>
      <c r="N106" s="1137">
        <f>0.5659/N101</f>
        <v>0.25722727272727269</v>
      </c>
    </row>
    <row r="107" spans="1:14">
      <c r="A107" s="3430"/>
      <c r="B107" s="1136">
        <v>6</v>
      </c>
      <c r="C107" s="1137">
        <f>0.7608/C101</f>
        <v>0.3458181818181818</v>
      </c>
      <c r="D107" s="1137">
        <f>0.7608/D101</f>
        <v>0.3458181818181818</v>
      </c>
      <c r="E107" s="1137">
        <f>0.6482/E101</f>
        <v>0.29463636363636359</v>
      </c>
      <c r="F107" s="1137">
        <f>0.6482/F101</f>
        <v>0.29463636363636359</v>
      </c>
      <c r="G107" s="1137">
        <f>0.6482/G101</f>
        <v>0.29463636363636359</v>
      </c>
      <c r="H107" s="1137">
        <f>0.6482/H101</f>
        <v>0.29463636363636359</v>
      </c>
      <c r="I107" s="1137">
        <f>0.6482/I101</f>
        <v>0.29463636363636359</v>
      </c>
      <c r="J107" s="1137">
        <f>0.4525/J101</f>
        <v>0.20568181818181816</v>
      </c>
      <c r="K107" s="1137">
        <f>0.4525/K101</f>
        <v>0.20568181818181816</v>
      </c>
      <c r="L107" s="1137">
        <f>0.4525/L101</f>
        <v>0.20568181818181816</v>
      </c>
      <c r="M107" s="1137">
        <f>0.4525/M101</f>
        <v>0.20568181818181816</v>
      </c>
      <c r="N107" s="1137">
        <f>0.4525/N101</f>
        <v>0.20568181818181816</v>
      </c>
    </row>
    <row r="108" spans="1:14">
      <c r="A108" s="3430"/>
      <c r="B108" s="3432"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1"/>
      <c r="B109" s="3433"/>
      <c r="C109" s="1139">
        <f>(-0.163*(C108^2)-0.59*C108+7617)*(10^(-4))/C101</f>
        <v>0.34553854545454543</v>
      </c>
      <c r="D109" s="1139">
        <f>(-0.163*(D108^2)-0.59*D108+7617)*(10^(-4))/D101</f>
        <v>0.34553854545454543</v>
      </c>
      <c r="E109" s="1139">
        <f>(-0.161*(E108^2)-7.509*E108+6533)*(10^(-4))/E101</f>
        <v>0.29375563636363633</v>
      </c>
      <c r="F109" s="1139">
        <f>(-0.161*(F108^2)-7.509*F108+6533)*(10^(-4))/F101</f>
        <v>0.29375563636363633</v>
      </c>
      <c r="G109" s="1139">
        <f>(-0.161*(G108^2)-7.509*G108+6533)*(10^(-4))/G101</f>
        <v>0.29375563636363633</v>
      </c>
      <c r="H109" s="1139">
        <f>(-0.161*(H108^2)-7.509*H108+6533)*(10^(-4))/H101</f>
        <v>0.29375563636363633</v>
      </c>
      <c r="I109" s="1139">
        <f>(-0.161*(I108^2)-7.509*I108+6533)*(10^(-4))/I101</f>
        <v>0.29375563636363633</v>
      </c>
      <c r="J109" s="1139">
        <f>(-0.214*(J108^2)-21.991*J108+4665)*(10^(-4))/J101</f>
        <v>0.20342618181818181</v>
      </c>
      <c r="K109" s="1139">
        <f>(-0.214*(K108^2)-21.991*K108+4665)*(10^(-4))/K101</f>
        <v>0.20342618181818181</v>
      </c>
      <c r="L109" s="1139">
        <f>(-0.214*(L108^2)-21.991*L108+4665)*(10^(-4))/L101</f>
        <v>0.20342618181818181</v>
      </c>
      <c r="M109" s="1139">
        <f>(-0.214*(M108^2)-21.991*M108+4665)*(10^(-4))/M101</f>
        <v>0.20342618181818181</v>
      </c>
      <c r="N109" s="1139">
        <f>(-0.214*(N108^2)-21.991*N108+4665)*(10^(-4))/N101</f>
        <v>0.20342618181818181</v>
      </c>
    </row>
    <row r="110" spans="1:14">
      <c r="A110" s="3436" t="s">
        <v>1639</v>
      </c>
      <c r="B110" s="3436"/>
      <c r="C110" s="3436"/>
      <c r="D110" s="3436"/>
      <c r="E110" s="3436"/>
      <c r="F110" s="3436"/>
      <c r="G110" s="3436"/>
      <c r="H110" s="3436"/>
      <c r="I110" s="3436"/>
      <c r="J110" s="3436"/>
      <c r="K110" s="2410"/>
      <c r="L110" s="2410"/>
      <c r="M110" s="2410"/>
      <c r="N110" s="2410"/>
    </row>
    <row r="112" spans="1:14" ht="12.75" thickBot="1"/>
    <row r="113" spans="1:13" ht="25.5" thickBot="1">
      <c r="A113" s="1013" t="s">
        <v>896</v>
      </c>
      <c r="B113" s="2413">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5" t="s">
        <v>2988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443" t="s">
        <v>1007</v>
      </c>
      <c r="B18" s="1147" t="s">
        <v>1446</v>
      </c>
      <c r="C18" s="1124" t="s">
        <v>1447</v>
      </c>
      <c r="D18" s="1125"/>
      <c r="E18" s="1147">
        <v>1</v>
      </c>
      <c r="F18" s="1126" t="s">
        <v>1448</v>
      </c>
      <c r="G18" s="1127"/>
      <c r="H18" s="1098"/>
      <c r="I18" s="1098"/>
    </row>
    <row r="19" spans="1:9" s="1582" customFormat="1" ht="19.5" customHeight="1">
      <c r="A19" s="3443"/>
      <c r="B19" s="3443" t="s">
        <v>1449</v>
      </c>
      <c r="C19" s="1124" t="s">
        <v>1450</v>
      </c>
      <c r="D19" s="1125"/>
      <c r="E19" s="1147">
        <v>0.9</v>
      </c>
      <c r="F19" s="1126" t="s">
        <v>1451</v>
      </c>
      <c r="G19" s="1127"/>
      <c r="H19" s="1098"/>
      <c r="I19" s="1098"/>
    </row>
    <row r="20" spans="1:9" s="1582" customFormat="1" ht="19.5" customHeight="1">
      <c r="A20" s="3443"/>
      <c r="B20" s="3443"/>
      <c r="C20" s="1124" t="s">
        <v>1452</v>
      </c>
      <c r="D20" s="1125"/>
      <c r="E20" s="1147">
        <v>1.1000000000000001</v>
      </c>
      <c r="F20" s="1126" t="s">
        <v>1453</v>
      </c>
      <c r="G20" s="1127"/>
      <c r="H20" s="1098"/>
      <c r="I20" s="1098"/>
    </row>
    <row r="21" spans="1:9" s="1582" customFormat="1" ht="19.5" customHeight="1">
      <c r="A21" s="3443"/>
      <c r="B21" s="3443"/>
      <c r="C21" s="1124" t="s">
        <v>1454</v>
      </c>
      <c r="D21" s="1125"/>
      <c r="E21" s="1147">
        <v>0.8</v>
      </c>
      <c r="F21" s="1126" t="s">
        <v>1455</v>
      </c>
      <c r="G21" s="1127"/>
      <c r="H21" s="1098"/>
      <c r="I21" s="1098"/>
    </row>
    <row r="22" spans="1:9" s="1582" customFormat="1" ht="19.5" customHeight="1">
      <c r="A22" s="3443"/>
      <c r="B22" s="3443"/>
      <c r="C22" s="1124" t="s">
        <v>1456</v>
      </c>
      <c r="D22" s="1125"/>
      <c r="E22" s="1147">
        <v>0.5</v>
      </c>
      <c r="F22" s="1126"/>
      <c r="G22" s="1127"/>
      <c r="H22" s="1098"/>
      <c r="I22" s="1098"/>
    </row>
    <row r="23" spans="1:9" s="1582" customFormat="1" ht="19.5" customHeight="1">
      <c r="A23" s="3443" t="s">
        <v>1029</v>
      </c>
      <c r="B23" s="1147" t="s">
        <v>1446</v>
      </c>
      <c r="C23" s="1124" t="s">
        <v>1457</v>
      </c>
      <c r="D23" s="1125"/>
      <c r="E23" s="1147">
        <v>1</v>
      </c>
      <c r="F23" s="1126" t="s">
        <v>1458</v>
      </c>
      <c r="G23" s="1127"/>
      <c r="H23" s="1098"/>
      <c r="I23" s="1098"/>
    </row>
    <row r="24" spans="1:9" s="1582" customFormat="1" ht="19.5" customHeight="1">
      <c r="A24" s="3443"/>
      <c r="B24" s="3443" t="s">
        <v>1449</v>
      </c>
      <c r="C24" s="1124" t="s">
        <v>1459</v>
      </c>
      <c r="D24" s="1125"/>
      <c r="E24" s="1147">
        <v>0.5</v>
      </c>
      <c r="F24" s="1126"/>
      <c r="G24" s="1127"/>
      <c r="H24" s="1098"/>
      <c r="I24" s="1098"/>
    </row>
    <row r="25" spans="1:9" s="1582" customFormat="1" ht="19.5" customHeight="1">
      <c r="A25" s="3443"/>
      <c r="B25" s="3443"/>
      <c r="C25" s="1124" t="s">
        <v>1460</v>
      </c>
      <c r="D25" s="1125"/>
      <c r="E25" s="1147">
        <v>1.1000000000000001</v>
      </c>
      <c r="F25" s="1126"/>
      <c r="G25" s="1127"/>
      <c r="H25" s="1098"/>
      <c r="I25" s="1098"/>
    </row>
    <row r="26" spans="1:9" s="1582" customFormat="1" ht="19.5" customHeight="1">
      <c r="A26" s="3443"/>
      <c r="B26" s="3443"/>
      <c r="C26" s="1124" t="s">
        <v>1461</v>
      </c>
      <c r="D26" s="1125"/>
      <c r="E26" s="1147">
        <v>1.1000000000000001</v>
      </c>
      <c r="F26" s="1126"/>
      <c r="G26" s="1127"/>
      <c r="H26" s="1098"/>
      <c r="I26" s="1098"/>
    </row>
    <row r="27" spans="1:9" s="1582" customFormat="1" ht="19.5" customHeight="1">
      <c r="A27" s="3443"/>
      <c r="B27" s="3443"/>
      <c r="C27" s="1124" t="s">
        <v>1462</v>
      </c>
      <c r="D27" s="1125"/>
      <c r="E27" s="1147">
        <v>0.9</v>
      </c>
      <c r="F27" s="1126" t="s">
        <v>1463</v>
      </c>
      <c r="G27" s="1127"/>
      <c r="H27" s="1098"/>
      <c r="I27" s="1098"/>
    </row>
    <row r="28" spans="1:9" s="1582" customFormat="1" ht="19.5" customHeight="1">
      <c r="A28" s="3443"/>
      <c r="B28" s="3443"/>
      <c r="C28" s="1124" t="s">
        <v>1464</v>
      </c>
      <c r="D28" s="1125"/>
      <c r="E28" s="1147">
        <v>0.9</v>
      </c>
      <c r="F28" s="1126" t="s">
        <v>1465</v>
      </c>
      <c r="G28" s="1127"/>
      <c r="H28" s="1098"/>
      <c r="I28" s="1098"/>
    </row>
    <row r="29" spans="1:9" s="1582" customFormat="1" ht="19.5" customHeight="1">
      <c r="A29" s="3443"/>
      <c r="B29" s="3443"/>
      <c r="C29" s="1124" t="s">
        <v>1466</v>
      </c>
      <c r="D29" s="1125"/>
      <c r="E29" s="1147">
        <v>0.9</v>
      </c>
      <c r="F29" s="1126" t="s">
        <v>1467</v>
      </c>
      <c r="G29" s="1127"/>
      <c r="H29" s="1098"/>
      <c r="I29" s="1098"/>
    </row>
    <row r="30" spans="1:9" s="1582" customFormat="1" ht="19.5" customHeight="1">
      <c r="A30" s="3443"/>
      <c r="B30" s="3443"/>
      <c r="C30" s="1124" t="s">
        <v>1468</v>
      </c>
      <c r="D30" s="1125"/>
      <c r="E30" s="1147">
        <v>0.9</v>
      </c>
      <c r="F30" s="1126" t="s">
        <v>1469</v>
      </c>
      <c r="G30" s="1127"/>
      <c r="H30" s="1098"/>
      <c r="I30" s="1098"/>
    </row>
    <row r="31" spans="1:9" s="1582" customFormat="1" ht="19.5" customHeight="1">
      <c r="A31" s="3443"/>
      <c r="B31" s="3443"/>
      <c r="C31" s="1124" t="s">
        <v>1470</v>
      </c>
      <c r="D31" s="1125"/>
      <c r="E31" s="1147">
        <v>0.8</v>
      </c>
      <c r="F31" s="1126" t="s">
        <v>1471</v>
      </c>
      <c r="G31" s="1127"/>
      <c r="H31" s="1098"/>
      <c r="I31" s="1098"/>
    </row>
    <row r="32" spans="1:9" s="1582" customFormat="1" ht="19.5" customHeight="1">
      <c r="A32" s="3443"/>
      <c r="B32" s="3443"/>
      <c r="C32" s="1124" t="s">
        <v>1472</v>
      </c>
      <c r="D32" s="1125"/>
      <c r="E32" s="1147">
        <v>0.8</v>
      </c>
      <c r="F32" s="1126" t="s">
        <v>1473</v>
      </c>
      <c r="G32" s="1127"/>
      <c r="H32" s="1098"/>
      <c r="I32" s="1098"/>
    </row>
    <row r="33" spans="1:9" s="1582" customFormat="1" ht="19.5" customHeight="1">
      <c r="A33" s="3443" t="s">
        <v>1474</v>
      </c>
      <c r="B33" s="1147" t="s">
        <v>1446</v>
      </c>
      <c r="C33" s="1124" t="s">
        <v>1475</v>
      </c>
      <c r="D33" s="1125"/>
      <c r="E33" s="1147">
        <v>1</v>
      </c>
      <c r="F33" s="1126" t="s">
        <v>1476</v>
      </c>
      <c r="G33" s="1127"/>
      <c r="H33" s="1098"/>
      <c r="I33" s="1098"/>
    </row>
    <row r="34" spans="1:9" s="1582" customFormat="1" ht="19.5" customHeight="1">
      <c r="A34" s="3443"/>
      <c r="B34" s="1147" t="s">
        <v>1449</v>
      </c>
      <c r="C34" s="1124" t="s">
        <v>1477</v>
      </c>
      <c r="D34" s="1125"/>
      <c r="E34" s="1147">
        <v>1.5</v>
      </c>
      <c r="F34" s="1126" t="s">
        <v>1478</v>
      </c>
      <c r="G34" s="1127"/>
      <c r="H34" s="1098"/>
      <c r="I34" s="1098"/>
    </row>
    <row r="35" spans="1:9" s="1582" customFormat="1" ht="19.5" customHeight="1">
      <c r="A35" s="3443" t="s">
        <v>1432</v>
      </c>
      <c r="B35" s="1147" t="s">
        <v>1446</v>
      </c>
      <c r="C35" s="1124" t="s">
        <v>1479</v>
      </c>
      <c r="D35" s="1125"/>
      <c r="E35" s="1147">
        <v>1</v>
      </c>
      <c r="F35" s="1126" t="s">
        <v>1480</v>
      </c>
      <c r="G35" s="1127"/>
      <c r="H35" s="1098"/>
      <c r="I35" s="1098"/>
    </row>
    <row r="36" spans="1:9" s="1582" customFormat="1" ht="19.5" customHeight="1">
      <c r="A36" s="3443"/>
      <c r="B36" s="3443" t="s">
        <v>1449</v>
      </c>
      <c r="C36" s="1124" t="s">
        <v>1481</v>
      </c>
      <c r="D36" s="1125"/>
      <c r="E36" s="1147">
        <v>1</v>
      </c>
      <c r="F36" s="1126" t="s">
        <v>1482</v>
      </c>
      <c r="G36" s="1127"/>
      <c r="H36" s="1098"/>
      <c r="I36" s="1098"/>
    </row>
    <row r="37" spans="1:9" s="1582" customFormat="1" ht="19.5" customHeight="1">
      <c r="A37" s="3443"/>
      <c r="B37" s="3443"/>
      <c r="C37" s="1124" t="s">
        <v>1483</v>
      </c>
      <c r="D37" s="1125"/>
      <c r="E37" s="1147">
        <v>1.5</v>
      </c>
      <c r="F37" s="1126" t="s">
        <v>1484</v>
      </c>
      <c r="G37" s="1127"/>
      <c r="H37" s="1098"/>
      <c r="I37" s="1098"/>
    </row>
    <row r="38" spans="1:9" s="1582" customFormat="1" ht="19.5" customHeight="1">
      <c r="A38" s="3443"/>
      <c r="B38" s="3443"/>
      <c r="C38" s="1124" t="s">
        <v>1485</v>
      </c>
      <c r="D38" s="1125"/>
      <c r="E38" s="1147">
        <v>1</v>
      </c>
      <c r="F38" s="1126" t="s">
        <v>1486</v>
      </c>
      <c r="G38" s="1127"/>
      <c r="H38" s="1098"/>
      <c r="I38" s="1098"/>
    </row>
    <row r="39" spans="1:9" s="1582" customFormat="1" ht="19.5" customHeight="1">
      <c r="A39" s="3443"/>
      <c r="B39" s="3443"/>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3" t="s">
        <v>1501</v>
      </c>
      <c r="C61" s="1061" t="s">
        <v>1502</v>
      </c>
      <c r="D61" s="1061" t="s">
        <v>1503</v>
      </c>
      <c r="E61" s="1132">
        <v>0.5</v>
      </c>
      <c r="F61" s="1147">
        <v>80</v>
      </c>
      <c r="H61" s="1098">
        <f>SUMIF(C59:C119,基准地价!C8,E59:E119)</f>
        <v>0</v>
      </c>
    </row>
    <row r="62" spans="1:8" s="1098" customFormat="1" ht="24">
      <c r="A62" s="1147">
        <v>2</v>
      </c>
      <c r="B62" s="3443"/>
      <c r="C62" s="1061" t="s">
        <v>1504</v>
      </c>
      <c r="D62" s="1061" t="s">
        <v>1505</v>
      </c>
      <c r="E62" s="1132">
        <v>0.5</v>
      </c>
      <c r="F62" s="1147">
        <v>80</v>
      </c>
    </row>
    <row r="63" spans="1:8" s="1098" customFormat="1" ht="36">
      <c r="A63" s="1147">
        <v>3</v>
      </c>
      <c r="B63" s="3443"/>
      <c r="C63" s="1061" t="s">
        <v>1506</v>
      </c>
      <c r="D63" s="1061" t="s">
        <v>1507</v>
      </c>
      <c r="E63" s="1132">
        <v>0.5</v>
      </c>
      <c r="F63" s="1147">
        <v>80</v>
      </c>
    </row>
    <row r="64" spans="1:8" s="1098" customFormat="1" ht="36">
      <c r="A64" s="1147">
        <v>4</v>
      </c>
      <c r="B64" s="3443"/>
      <c r="C64" s="1061" t="s">
        <v>1508</v>
      </c>
      <c r="D64" s="1061" t="s">
        <v>1509</v>
      </c>
      <c r="E64" s="1132">
        <v>0.4</v>
      </c>
      <c r="F64" s="1147">
        <v>60</v>
      </c>
    </row>
    <row r="65" spans="1:6" s="1098" customFormat="1" ht="36">
      <c r="A65" s="1147">
        <v>5</v>
      </c>
      <c r="B65" s="3443"/>
      <c r="C65" s="1061" t="s">
        <v>1510</v>
      </c>
      <c r="D65" s="1061" t="s">
        <v>1511</v>
      </c>
      <c r="E65" s="1132">
        <v>0.2</v>
      </c>
      <c r="F65" s="1147">
        <v>30</v>
      </c>
    </row>
    <row r="66" spans="1:6" s="1098" customFormat="1" ht="36">
      <c r="A66" s="1147">
        <v>6</v>
      </c>
      <c r="B66" s="3443"/>
      <c r="C66" s="1061" t="s">
        <v>1512</v>
      </c>
      <c r="D66" s="1061" t="s">
        <v>1513</v>
      </c>
      <c r="E66" s="1132">
        <v>0.3</v>
      </c>
      <c r="F66" s="1147">
        <v>50</v>
      </c>
    </row>
    <row r="67" spans="1:6" s="1098" customFormat="1" ht="36">
      <c r="A67" s="1147">
        <v>7</v>
      </c>
      <c r="B67" s="3443"/>
      <c r="C67" s="1061" t="s">
        <v>1514</v>
      </c>
      <c r="D67" s="1061" t="s">
        <v>1515</v>
      </c>
      <c r="E67" s="1132">
        <v>0.2</v>
      </c>
      <c r="F67" s="1147">
        <v>30</v>
      </c>
    </row>
    <row r="68" spans="1:6" s="1098" customFormat="1" ht="36">
      <c r="A68" s="1147">
        <v>8</v>
      </c>
      <c r="B68" s="3443"/>
      <c r="C68" s="1061" t="s">
        <v>1516</v>
      </c>
      <c r="D68" s="1061" t="s">
        <v>1517</v>
      </c>
      <c r="E68" s="1132">
        <v>0.2</v>
      </c>
      <c r="F68" s="1147">
        <v>30</v>
      </c>
    </row>
    <row r="69" spans="1:6" s="1098" customFormat="1" ht="36">
      <c r="A69" s="1147">
        <v>9</v>
      </c>
      <c r="B69" s="3443"/>
      <c r="C69" s="1061" t="s">
        <v>1518</v>
      </c>
      <c r="D69" s="1061" t="s">
        <v>1519</v>
      </c>
      <c r="E69" s="1132">
        <v>0.2</v>
      </c>
      <c r="F69" s="1147">
        <v>30</v>
      </c>
    </row>
    <row r="70" spans="1:6" s="1098" customFormat="1" ht="48">
      <c r="A70" s="1147">
        <v>10</v>
      </c>
      <c r="B70" s="3443"/>
      <c r="C70" s="1061" t="s">
        <v>1520</v>
      </c>
      <c r="D70" s="1061" t="s">
        <v>1521</v>
      </c>
      <c r="E70" s="1132">
        <v>0.2</v>
      </c>
      <c r="F70" s="1147">
        <v>30</v>
      </c>
    </row>
    <row r="71" spans="1:6" s="1098" customFormat="1" ht="48">
      <c r="A71" s="1147">
        <v>11</v>
      </c>
      <c r="B71" s="3443"/>
      <c r="C71" s="1061" t="s">
        <v>1522</v>
      </c>
      <c r="D71" s="1061" t="s">
        <v>1523</v>
      </c>
      <c r="E71" s="1132">
        <v>0.2</v>
      </c>
      <c r="F71" s="1147">
        <v>30</v>
      </c>
    </row>
    <row r="72" spans="1:6" s="1098" customFormat="1" ht="36">
      <c r="A72" s="1147">
        <v>12</v>
      </c>
      <c r="B72" s="3443"/>
      <c r="C72" s="1061" t="s">
        <v>1524</v>
      </c>
      <c r="D72" s="1061" t="s">
        <v>1525</v>
      </c>
      <c r="E72" s="1132">
        <v>0.5</v>
      </c>
      <c r="F72" s="1147">
        <v>80</v>
      </c>
    </row>
    <row r="73" spans="1:6" s="1098" customFormat="1" ht="24">
      <c r="A73" s="1147">
        <v>13</v>
      </c>
      <c r="B73" s="3443"/>
      <c r="C73" s="1061" t="s">
        <v>1526</v>
      </c>
      <c r="D73" s="1061" t="s">
        <v>1527</v>
      </c>
      <c r="E73" s="1132">
        <v>0.4</v>
      </c>
      <c r="F73" s="1147">
        <v>60</v>
      </c>
    </row>
    <row r="74" spans="1:6" s="1098" customFormat="1" ht="24">
      <c r="A74" s="1147">
        <v>14</v>
      </c>
      <c r="B74" s="3443"/>
      <c r="C74" s="1061" t="s">
        <v>1528</v>
      </c>
      <c r="D74" s="1061" t="s">
        <v>1529</v>
      </c>
      <c r="E74" s="1132">
        <v>0.2</v>
      </c>
      <c r="F74" s="1147">
        <v>30</v>
      </c>
    </row>
    <row r="75" spans="1:6" s="1098" customFormat="1" ht="24">
      <c r="A75" s="1147">
        <v>15</v>
      </c>
      <c r="B75" s="3443"/>
      <c r="C75" s="1061" t="s">
        <v>1530</v>
      </c>
      <c r="D75" s="1061" t="s">
        <v>1531</v>
      </c>
      <c r="E75" s="1132">
        <v>0.2</v>
      </c>
      <c r="F75" s="1147">
        <v>30</v>
      </c>
    </row>
    <row r="76" spans="1:6" s="1098" customFormat="1" ht="24">
      <c r="A76" s="1147">
        <v>16</v>
      </c>
      <c r="B76" s="3443" t="s">
        <v>1532</v>
      </c>
      <c r="C76" s="1061" t="s">
        <v>1533</v>
      </c>
      <c r="D76" s="1061" t="s">
        <v>1534</v>
      </c>
      <c r="E76" s="1132">
        <v>0.5</v>
      </c>
      <c r="F76" s="1147">
        <v>80</v>
      </c>
    </row>
    <row r="77" spans="1:6" s="1098" customFormat="1" ht="24">
      <c r="A77" s="1147">
        <v>17</v>
      </c>
      <c r="B77" s="3443"/>
      <c r="C77" s="1061" t="s">
        <v>1535</v>
      </c>
      <c r="D77" s="1061" t="s">
        <v>1536</v>
      </c>
      <c r="E77" s="1132">
        <v>0.5</v>
      </c>
      <c r="F77" s="1147">
        <v>80</v>
      </c>
    </row>
    <row r="78" spans="1:6" s="1098" customFormat="1" ht="24">
      <c r="A78" s="1147">
        <v>18</v>
      </c>
      <c r="B78" s="3443"/>
      <c r="C78" s="1061" t="s">
        <v>1537</v>
      </c>
      <c r="D78" s="1061" t="s">
        <v>1538</v>
      </c>
      <c r="E78" s="1132">
        <v>0.2</v>
      </c>
      <c r="F78" s="1147">
        <v>30</v>
      </c>
    </row>
    <row r="79" spans="1:6" s="1098" customFormat="1" ht="24">
      <c r="A79" s="1147">
        <v>19</v>
      </c>
      <c r="B79" s="3443"/>
      <c r="C79" s="1061" t="s">
        <v>1539</v>
      </c>
      <c r="D79" s="1061" t="s">
        <v>1540</v>
      </c>
      <c r="E79" s="1132">
        <v>0.5</v>
      </c>
      <c r="F79" s="1147">
        <v>80</v>
      </c>
    </row>
    <row r="80" spans="1:6" s="1098" customFormat="1" ht="36">
      <c r="A80" s="1147">
        <v>20</v>
      </c>
      <c r="B80" s="3443"/>
      <c r="C80" s="1061" t="s">
        <v>1541</v>
      </c>
      <c r="D80" s="1061" t="s">
        <v>1542</v>
      </c>
      <c r="E80" s="1132">
        <v>0.2</v>
      </c>
      <c r="F80" s="1147">
        <v>30</v>
      </c>
    </row>
    <row r="81" spans="1:6" s="1098" customFormat="1" ht="36">
      <c r="A81" s="1147">
        <v>21</v>
      </c>
      <c r="B81" s="3443"/>
      <c r="C81" s="1061" t="s">
        <v>1543</v>
      </c>
      <c r="D81" s="1061" t="s">
        <v>1544</v>
      </c>
      <c r="E81" s="1132">
        <v>0.2</v>
      </c>
      <c r="F81" s="1147">
        <v>30</v>
      </c>
    </row>
    <row r="82" spans="1:6" s="1098" customFormat="1" ht="48">
      <c r="A82" s="1147">
        <v>22</v>
      </c>
      <c r="B82" s="3443"/>
      <c r="C82" s="1061" t="s">
        <v>1545</v>
      </c>
      <c r="D82" s="1061" t="s">
        <v>1546</v>
      </c>
      <c r="E82" s="1132">
        <v>0.2</v>
      </c>
      <c r="F82" s="1147">
        <v>30</v>
      </c>
    </row>
    <row r="83" spans="1:6" s="1098" customFormat="1" ht="48">
      <c r="A83" s="1147">
        <v>23</v>
      </c>
      <c r="B83" s="3443"/>
      <c r="C83" s="1061" t="s">
        <v>1547</v>
      </c>
      <c r="D83" s="1061" t="s">
        <v>1548</v>
      </c>
      <c r="E83" s="1132">
        <v>0.2</v>
      </c>
      <c r="F83" s="1147">
        <v>30</v>
      </c>
    </row>
    <row r="84" spans="1:6" s="1098" customFormat="1" ht="36">
      <c r="A84" s="1147">
        <v>24</v>
      </c>
      <c r="B84" s="3443"/>
      <c r="C84" s="1061" t="s">
        <v>1549</v>
      </c>
      <c r="D84" s="1061" t="s">
        <v>1550</v>
      </c>
      <c r="E84" s="1132">
        <v>0.2</v>
      </c>
      <c r="F84" s="1147">
        <v>30</v>
      </c>
    </row>
    <row r="85" spans="1:6" s="1098" customFormat="1" ht="36">
      <c r="A85" s="1147">
        <v>25</v>
      </c>
      <c r="B85" s="3443"/>
      <c r="C85" s="1061" t="s">
        <v>1551</v>
      </c>
      <c r="D85" s="1061" t="s">
        <v>1552</v>
      </c>
      <c r="E85" s="1132">
        <v>0.5</v>
      </c>
      <c r="F85" s="1147">
        <v>80</v>
      </c>
    </row>
    <row r="86" spans="1:6" s="1098" customFormat="1" ht="36">
      <c r="A86" s="1147">
        <v>26</v>
      </c>
      <c r="B86" s="3443"/>
      <c r="C86" s="1061" t="s">
        <v>1553</v>
      </c>
      <c r="D86" s="1061" t="s">
        <v>1554</v>
      </c>
      <c r="E86" s="1132">
        <v>0.2</v>
      </c>
      <c r="F86" s="1147">
        <v>30</v>
      </c>
    </row>
    <row r="87" spans="1:6" s="1098" customFormat="1" ht="36">
      <c r="A87" s="1147">
        <v>27</v>
      </c>
      <c r="B87" s="3443"/>
      <c r="C87" s="1061" t="s">
        <v>1555</v>
      </c>
      <c r="D87" s="1061" t="s">
        <v>1556</v>
      </c>
      <c r="E87" s="1132">
        <v>0.2</v>
      </c>
      <c r="F87" s="1147">
        <v>30</v>
      </c>
    </row>
    <row r="88" spans="1:6" s="1098" customFormat="1" ht="36">
      <c r="A88" s="1147">
        <v>28</v>
      </c>
      <c r="B88" s="3443"/>
      <c r="C88" s="1061" t="s">
        <v>1557</v>
      </c>
      <c r="D88" s="1061" t="s">
        <v>1558</v>
      </c>
      <c r="E88" s="1132">
        <v>0.2</v>
      </c>
      <c r="F88" s="1147">
        <v>30</v>
      </c>
    </row>
    <row r="89" spans="1:6" s="1098" customFormat="1" ht="24">
      <c r="A89" s="1147">
        <v>29</v>
      </c>
      <c r="B89" s="3443"/>
      <c r="C89" s="1061" t="s">
        <v>1559</v>
      </c>
      <c r="D89" s="1061" t="s">
        <v>1560</v>
      </c>
      <c r="E89" s="1132">
        <v>0.2</v>
      </c>
      <c r="F89" s="1147">
        <v>30</v>
      </c>
    </row>
    <row r="90" spans="1:6" s="1098" customFormat="1" ht="24">
      <c r="A90" s="1147">
        <v>30</v>
      </c>
      <c r="B90" s="3443"/>
      <c r="C90" s="1061" t="s">
        <v>1561</v>
      </c>
      <c r="D90" s="1061" t="s">
        <v>1562</v>
      </c>
      <c r="E90" s="1132">
        <v>0.2</v>
      </c>
      <c r="F90" s="1147">
        <v>30</v>
      </c>
    </row>
    <row r="91" spans="1:6" s="1098" customFormat="1" ht="36">
      <c r="A91" s="1147">
        <v>31</v>
      </c>
      <c r="B91" s="3443"/>
      <c r="C91" s="1061" t="s">
        <v>1563</v>
      </c>
      <c r="D91" s="1061" t="s">
        <v>1564</v>
      </c>
      <c r="E91" s="1132">
        <v>0.2</v>
      </c>
      <c r="F91" s="1147">
        <v>30</v>
      </c>
    </row>
    <row r="92" spans="1:6" s="1098" customFormat="1" ht="24">
      <c r="A92" s="1147">
        <v>32</v>
      </c>
      <c r="B92" s="3443" t="s">
        <v>1565</v>
      </c>
      <c r="C92" s="1147" t="s">
        <v>1566</v>
      </c>
      <c r="D92" s="1061" t="s">
        <v>1567</v>
      </c>
      <c r="E92" s="1132">
        <v>0.2</v>
      </c>
      <c r="F92" s="1147">
        <v>30</v>
      </c>
    </row>
    <row r="93" spans="1:6" s="1098" customFormat="1" ht="36">
      <c r="A93" s="1147">
        <v>33</v>
      </c>
      <c r="B93" s="3443"/>
      <c r="C93" s="1147" t="s">
        <v>1568</v>
      </c>
      <c r="D93" s="1061" t="s">
        <v>1569</v>
      </c>
      <c r="E93" s="1132">
        <v>0.2</v>
      </c>
      <c r="F93" s="1147">
        <v>30</v>
      </c>
    </row>
    <row r="94" spans="1:6" s="1098" customFormat="1" ht="48">
      <c r="A94" s="1147">
        <v>34</v>
      </c>
      <c r="B94" s="3443"/>
      <c r="C94" s="1147" t="s">
        <v>1570</v>
      </c>
      <c r="D94" s="1061" t="s">
        <v>1571</v>
      </c>
      <c r="E94" s="1132">
        <v>0.2</v>
      </c>
      <c r="F94" s="1147">
        <v>30</v>
      </c>
    </row>
    <row r="95" spans="1:6" s="1098" customFormat="1" ht="36">
      <c r="A95" s="1147">
        <v>35</v>
      </c>
      <c r="B95" s="3443"/>
      <c r="C95" s="1147" t="s">
        <v>1572</v>
      </c>
      <c r="D95" s="1061" t="s">
        <v>1573</v>
      </c>
      <c r="E95" s="1132">
        <v>0.2</v>
      </c>
      <c r="F95" s="1147">
        <v>30</v>
      </c>
    </row>
    <row r="96" spans="1:6" s="1098" customFormat="1" ht="48">
      <c r="A96" s="1147">
        <v>36</v>
      </c>
      <c r="B96" s="3443"/>
      <c r="C96" s="1061" t="s">
        <v>1574</v>
      </c>
      <c r="D96" s="1061" t="s">
        <v>1575</v>
      </c>
      <c r="E96" s="1132">
        <v>0.2</v>
      </c>
      <c r="F96" s="1147">
        <v>30</v>
      </c>
    </row>
    <row r="97" spans="1:6" s="1098" customFormat="1" ht="36">
      <c r="A97" s="1147">
        <v>37</v>
      </c>
      <c r="B97" s="3443"/>
      <c r="C97" s="1147" t="s">
        <v>1576</v>
      </c>
      <c r="D97" s="1061" t="s">
        <v>1577</v>
      </c>
      <c r="E97" s="1132">
        <v>0.2</v>
      </c>
      <c r="F97" s="1147">
        <v>30</v>
      </c>
    </row>
    <row r="98" spans="1:6" s="1098" customFormat="1" ht="36">
      <c r="A98" s="1147">
        <v>38</v>
      </c>
      <c r="B98" s="3443"/>
      <c r="C98" s="1147" t="s">
        <v>1578</v>
      </c>
      <c r="D98" s="1061" t="s">
        <v>1579</v>
      </c>
      <c r="E98" s="1132">
        <v>0.2</v>
      </c>
      <c r="F98" s="1147">
        <v>30</v>
      </c>
    </row>
    <row r="99" spans="1:6" s="1098" customFormat="1" ht="36">
      <c r="A99" s="1147">
        <v>39</v>
      </c>
      <c r="B99" s="3443" t="s">
        <v>1580</v>
      </c>
      <c r="C99" s="1147" t="s">
        <v>1581</v>
      </c>
      <c r="D99" s="1061" t="s">
        <v>1582</v>
      </c>
      <c r="E99" s="1132">
        <v>0.3</v>
      </c>
      <c r="F99" s="1147">
        <v>50</v>
      </c>
    </row>
    <row r="100" spans="1:6" s="1098" customFormat="1" ht="24">
      <c r="A100" s="1147">
        <v>40</v>
      </c>
      <c r="B100" s="3443"/>
      <c r="C100" s="1147" t="s">
        <v>1583</v>
      </c>
      <c r="D100" s="1061" t="s">
        <v>1584</v>
      </c>
      <c r="E100" s="1132">
        <v>0.2</v>
      </c>
      <c r="F100" s="1147">
        <v>30</v>
      </c>
    </row>
    <row r="101" spans="1:6" s="1098" customFormat="1" ht="36">
      <c r="A101" s="1147">
        <v>41</v>
      </c>
      <c r="B101" s="3443"/>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3" t="s">
        <v>1595</v>
      </c>
      <c r="C105" s="1147" t="s">
        <v>1596</v>
      </c>
      <c r="D105" s="1061" t="s">
        <v>1597</v>
      </c>
      <c r="E105" s="1132">
        <v>0.2</v>
      </c>
      <c r="F105" s="1147">
        <v>30</v>
      </c>
    </row>
    <row r="106" spans="1:6" s="1098" customFormat="1" ht="36">
      <c r="A106" s="1147">
        <v>46</v>
      </c>
      <c r="B106" s="3443"/>
      <c r="C106" s="1147" t="s">
        <v>1598</v>
      </c>
      <c r="D106" s="1061" t="s">
        <v>1599</v>
      </c>
      <c r="E106" s="1132">
        <v>0.2</v>
      </c>
      <c r="F106" s="1147">
        <v>30</v>
      </c>
    </row>
    <row r="107" spans="1:6" s="1098" customFormat="1" ht="36">
      <c r="A107" s="1147">
        <v>47</v>
      </c>
      <c r="B107" s="3443" t="s">
        <v>1600</v>
      </c>
      <c r="C107" s="1147" t="s">
        <v>1601</v>
      </c>
      <c r="D107" s="1061" t="s">
        <v>1602</v>
      </c>
      <c r="E107" s="1132">
        <v>0.3</v>
      </c>
      <c r="F107" s="1147">
        <v>50</v>
      </c>
    </row>
    <row r="108" spans="1:6" s="1098" customFormat="1" ht="36">
      <c r="A108" s="1147">
        <v>48</v>
      </c>
      <c r="B108" s="3443"/>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3" t="s">
        <v>1611</v>
      </c>
      <c r="C111" s="1147" t="s">
        <v>1612</v>
      </c>
      <c r="D111" s="1061" t="s">
        <v>1613</v>
      </c>
      <c r="E111" s="1132">
        <v>0.2</v>
      </c>
      <c r="F111" s="1147">
        <v>30</v>
      </c>
    </row>
    <row r="112" spans="1:6" s="1098" customFormat="1" ht="24">
      <c r="A112" s="1147">
        <v>52</v>
      </c>
      <c r="B112" s="3443"/>
      <c r="C112" s="1147" t="s">
        <v>1614</v>
      </c>
      <c r="D112" s="1061" t="s">
        <v>1615</v>
      </c>
      <c r="E112" s="1132">
        <v>0.2</v>
      </c>
      <c r="F112" s="1147">
        <v>30</v>
      </c>
    </row>
    <row r="113" spans="1:14" s="1098" customFormat="1" ht="24">
      <c r="A113" s="1147">
        <v>53</v>
      </c>
      <c r="B113" s="3443"/>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3" t="s">
        <v>1624</v>
      </c>
      <c r="C116" s="1147" t="s">
        <v>1625</v>
      </c>
      <c r="D116" s="1061" t="s">
        <v>1626</v>
      </c>
      <c r="E116" s="1132">
        <v>0.2</v>
      </c>
      <c r="F116" s="1147">
        <v>30</v>
      </c>
    </row>
    <row r="117" spans="1:14" ht="36">
      <c r="A117" s="1147">
        <v>57</v>
      </c>
      <c r="B117" s="3443"/>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2" t="s">
        <v>1633</v>
      </c>
      <c r="B121" s="3442"/>
      <c r="C121" s="3442"/>
      <c r="D121" s="3442"/>
      <c r="E121" s="3442"/>
      <c r="F121" s="3442"/>
      <c r="G121" s="3442"/>
      <c r="H121" s="3442"/>
      <c r="I121" s="3442"/>
      <c r="J121" s="344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7" t="s">
        <v>1039</v>
      </c>
      <c r="B1" s="3447"/>
      <c r="C1" s="3447"/>
      <c r="D1" s="3447"/>
      <c r="E1" s="3447"/>
      <c r="F1" s="3447"/>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48" t="s">
        <v>1052</v>
      </c>
      <c r="B2" s="3448"/>
      <c r="C2" s="3448"/>
      <c r="D2" s="3448"/>
      <c r="E2" s="3448"/>
      <c r="F2" s="3448"/>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49"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0"/>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51" t="s">
        <v>2078</v>
      </c>
      <c r="B1" s="3451"/>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9" t="s">
        <v>2574</v>
      </c>
      <c r="C1" s="3459"/>
      <c r="D1" s="3459"/>
      <c r="E1" s="3459"/>
      <c r="F1" s="3459"/>
      <c r="G1" s="3458" t="s">
        <v>2575</v>
      </c>
      <c r="H1" s="3458"/>
      <c r="I1" s="3458"/>
      <c r="J1" s="3458"/>
      <c r="K1" s="3458"/>
      <c r="L1" s="3458"/>
      <c r="N1" s="3458" t="s">
        <v>2576</v>
      </c>
      <c r="O1" s="3458"/>
      <c r="P1" s="3458"/>
      <c r="Q1" s="3458"/>
      <c r="R1" s="2616"/>
      <c r="S1" s="3458" t="s">
        <v>2577</v>
      </c>
      <c r="T1" s="3458"/>
      <c r="U1" s="3458"/>
      <c r="V1" s="3458"/>
      <c r="X1" s="3457" t="s">
        <v>2637</v>
      </c>
      <c r="Y1" s="3458"/>
      <c r="Z1" s="3458"/>
      <c r="AA1" s="3458"/>
      <c r="AB1" s="3458"/>
      <c r="AD1" s="3457" t="s">
        <v>2641</v>
      </c>
      <c r="AE1" s="3458"/>
      <c r="AF1" s="3458"/>
      <c r="AG1" s="3458"/>
      <c r="AH1" s="3458"/>
    </row>
    <row r="2" spans="1:34" s="2717" customFormat="1" ht="14.25" thickBot="1">
      <c r="B2" s="2725" t="s">
        <v>2578</v>
      </c>
      <c r="C2" s="2725" t="s">
        <v>2639</v>
      </c>
      <c r="D2" s="2718" t="s">
        <v>1644</v>
      </c>
      <c r="E2" s="2718" t="s">
        <v>1949</v>
      </c>
      <c r="F2" s="2725" t="s">
        <v>2640</v>
      </c>
      <c r="G2" s="2721"/>
      <c r="H2" s="2720"/>
      <c r="I2" s="2725" t="s">
        <v>2953</v>
      </c>
      <c r="J2" s="2718" t="s">
        <v>2955</v>
      </c>
      <c r="K2" s="2718" t="s">
        <v>2956</v>
      </c>
      <c r="L2" s="2725" t="s">
        <v>2957</v>
      </c>
      <c r="N2" s="2725" t="s">
        <v>2578</v>
      </c>
      <c r="O2" s="2718" t="s">
        <v>2954</v>
      </c>
      <c r="P2" s="2718" t="s">
        <v>1949</v>
      </c>
      <c r="Q2" s="2725" t="s">
        <v>2640</v>
      </c>
      <c r="R2" s="2719"/>
      <c r="S2" s="2725" t="s">
        <v>2578</v>
      </c>
      <c r="T2" s="2718" t="s">
        <v>2954</v>
      </c>
      <c r="U2" s="2718" t="s">
        <v>1949</v>
      </c>
      <c r="V2" s="2725" t="s">
        <v>2640</v>
      </c>
      <c r="X2" s="2725" t="s">
        <v>2578</v>
      </c>
      <c r="Y2" s="2725" t="s">
        <v>2639</v>
      </c>
      <c r="Z2" s="2718" t="s">
        <v>1644</v>
      </c>
      <c r="AA2" s="2718" t="s">
        <v>1949</v>
      </c>
      <c r="AB2" s="2725" t="s">
        <v>2640</v>
      </c>
      <c r="AD2" s="2725" t="s">
        <v>2578</v>
      </c>
      <c r="AE2" s="2725" t="s">
        <v>2639</v>
      </c>
      <c r="AF2" s="2718" t="s">
        <v>1644</v>
      </c>
      <c r="AG2" s="2718" t="s">
        <v>1949</v>
      </c>
      <c r="AH2" s="2725" t="s">
        <v>2640</v>
      </c>
    </row>
    <row r="3" spans="1:34" s="3081" customFormat="1" ht="14.25">
      <c r="A3" s="3093" t="s">
        <v>2966</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2992</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4">
        <v>3</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2967</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2" customFormat="1">
      <c r="A6" s="2617" t="s">
        <v>2991</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2618">
        <v>1.53</v>
      </c>
      <c r="J6" s="2618">
        <v>1.01</v>
      </c>
      <c r="K6" s="2618">
        <v>1.62</v>
      </c>
      <c r="L6" s="2619">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2989</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53">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2976</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53"/>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2977</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53"/>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2973</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4"/>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2964</v>
      </c>
      <c r="B12" s="3095">
        <v>439</v>
      </c>
      <c r="C12" s="3095">
        <v>327</v>
      </c>
      <c r="D12" s="3095">
        <f t="shared" si="65"/>
        <v>327</v>
      </c>
      <c r="E12" s="3095">
        <v>627</v>
      </c>
      <c r="F12" s="3096">
        <v>283</v>
      </c>
      <c r="G12" s="3452">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2968</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53"/>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2579</v>
      </c>
      <c r="B14" s="2630">
        <f t="shared" si="77"/>
        <v>419.31181600000002</v>
      </c>
      <c r="C14" s="2630">
        <f t="shared" si="77"/>
        <v>313.95436800000004</v>
      </c>
      <c r="D14" s="2630">
        <f t="shared" si="65"/>
        <v>313.95436800000004</v>
      </c>
      <c r="E14" s="2630">
        <f t="shared" si="78"/>
        <v>596.63028431999999</v>
      </c>
      <c r="F14" s="2630">
        <f t="shared" si="78"/>
        <v>274.74220703999998</v>
      </c>
      <c r="G14" s="3453"/>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2580</v>
      </c>
      <c r="B15" s="2630">
        <f t="shared" si="77"/>
        <v>405.524</v>
      </c>
      <c r="C15" s="2630">
        <f t="shared" si="77"/>
        <v>307.79840000000002</v>
      </c>
      <c r="D15" s="2630">
        <f t="shared" si="65"/>
        <v>307.79840000000002</v>
      </c>
      <c r="E15" s="2630">
        <f t="shared" si="78"/>
        <v>574.67759999999998</v>
      </c>
      <c r="F15" s="2630">
        <f t="shared" si="78"/>
        <v>270.20280000000002</v>
      </c>
      <c r="G15" s="3454"/>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970</v>
      </c>
      <c r="B16" s="2622">
        <v>392</v>
      </c>
      <c r="C16" s="2622">
        <v>302</v>
      </c>
      <c r="D16" s="2622">
        <f t="shared" si="65"/>
        <v>302</v>
      </c>
      <c r="E16" s="2622">
        <v>553</v>
      </c>
      <c r="F16" s="2623">
        <v>266</v>
      </c>
      <c r="G16" s="3452">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969</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53"/>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959</v>
      </c>
      <c r="B18" s="2630">
        <f t="shared" si="86"/>
        <v>360.06949782209392</v>
      </c>
      <c r="C18" s="2630">
        <f t="shared" si="86"/>
        <v>289.84672674747821</v>
      </c>
      <c r="D18" s="2630">
        <f t="shared" si="87"/>
        <v>289.84672674747821</v>
      </c>
      <c r="E18" s="2630">
        <f t="shared" si="88"/>
        <v>501.06543001181495</v>
      </c>
      <c r="F18" s="2630">
        <f t="shared" si="88"/>
        <v>256.82882500744967</v>
      </c>
      <c r="G18" s="3453"/>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968</v>
      </c>
      <c r="B19" s="2630">
        <f t="shared" si="86"/>
        <v>346.720748986128</v>
      </c>
      <c r="C19" s="2630">
        <f t="shared" si="86"/>
        <v>284.30282172386285</v>
      </c>
      <c r="D19" s="2630">
        <f t="shared" si="87"/>
        <v>284.30282172386285</v>
      </c>
      <c r="E19" s="2630">
        <f t="shared" si="88"/>
        <v>479.58023546306947</v>
      </c>
      <c r="F19" s="2630">
        <f t="shared" si="88"/>
        <v>253.25788877571213</v>
      </c>
      <c r="G19" s="3456"/>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967</v>
      </c>
      <c r="B20" s="2622">
        <v>333</v>
      </c>
      <c r="C20" s="2622">
        <v>277</v>
      </c>
      <c r="D20" s="2622">
        <f t="shared" si="87"/>
        <v>277</v>
      </c>
      <c r="E20" s="2622">
        <v>459</v>
      </c>
      <c r="F20" s="2623">
        <v>249</v>
      </c>
      <c r="G20" s="3455">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966</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53"/>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965</v>
      </c>
      <c r="B22" s="2630">
        <f t="shared" si="90"/>
        <v>322.34053690220776</v>
      </c>
      <c r="C22" s="2630">
        <f t="shared" si="90"/>
        <v>271.46160770422546</v>
      </c>
      <c r="D22" s="2630">
        <f t="shared" si="87"/>
        <v>271.46160770422546</v>
      </c>
      <c r="E22" s="2630">
        <f t="shared" si="91"/>
        <v>442.69434542172456</v>
      </c>
      <c r="F22" s="2630">
        <f t="shared" si="91"/>
        <v>241.34030753190925</v>
      </c>
      <c r="G22" s="3453"/>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964</v>
      </c>
      <c r="B23" s="2630">
        <f t="shared" si="90"/>
        <v>319.87748030386797</v>
      </c>
      <c r="C23" s="2630">
        <f t="shared" si="90"/>
        <v>269.60135833173649</v>
      </c>
      <c r="D23" s="2630">
        <f t="shared" si="87"/>
        <v>269.60135833173649</v>
      </c>
      <c r="E23" s="2630">
        <f t="shared" si="91"/>
        <v>439.18089823583784</v>
      </c>
      <c r="F23" s="2630">
        <f t="shared" si="91"/>
        <v>239.23503918706311</v>
      </c>
      <c r="G23" s="3456"/>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963</v>
      </c>
      <c r="B24" s="2644">
        <v>318</v>
      </c>
      <c r="C24" s="2644">
        <v>268</v>
      </c>
      <c r="D24" s="2644">
        <f t="shared" si="87"/>
        <v>268</v>
      </c>
      <c r="E24" s="2644">
        <v>437</v>
      </c>
      <c r="F24" s="2645">
        <v>237</v>
      </c>
      <c r="G24" s="3455">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962</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53"/>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961</v>
      </c>
      <c r="B26" s="2630">
        <f t="shared" si="92"/>
        <v>314.72141172386546</v>
      </c>
      <c r="C26" s="2630">
        <f t="shared" si="92"/>
        <v>263.03901319069001</v>
      </c>
      <c r="D26" s="2630">
        <f t="shared" si="87"/>
        <v>263.03901319069001</v>
      </c>
      <c r="E26" s="2630">
        <f t="shared" si="93"/>
        <v>433.65745506782821</v>
      </c>
      <c r="F26" s="2630">
        <f t="shared" si="93"/>
        <v>233.23005080045735</v>
      </c>
      <c r="G26" s="3453"/>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960</v>
      </c>
      <c r="B27" s="2649">
        <f t="shared" si="92"/>
        <v>307.34512863658733</v>
      </c>
      <c r="C27" s="2649">
        <f t="shared" si="92"/>
        <v>257.80556031626975</v>
      </c>
      <c r="D27" s="2649">
        <f t="shared" si="87"/>
        <v>257.80556031626975</v>
      </c>
      <c r="E27" s="2649">
        <f t="shared" si="93"/>
        <v>422.70928459677179</v>
      </c>
      <c r="F27" s="2649">
        <f t="shared" si="93"/>
        <v>229.73803270336617</v>
      </c>
      <c r="G27" s="3456"/>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2638</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2581</v>
      </c>
      <c r="B28" s="2622">
        <v>299</v>
      </c>
      <c r="C28" s="2622">
        <v>252</v>
      </c>
      <c r="D28" s="2622">
        <f t="shared" si="87"/>
        <v>252</v>
      </c>
      <c r="E28" s="2622">
        <v>409</v>
      </c>
      <c r="F28" s="2623">
        <v>227</v>
      </c>
      <c r="G28" s="3460">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2582</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61"/>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2583</v>
      </c>
      <c r="B30" s="2630">
        <f t="shared" si="96"/>
        <v>288.2649053828776</v>
      </c>
      <c r="C30" s="2630">
        <f t="shared" si="96"/>
        <v>243.64564425013293</v>
      </c>
      <c r="D30" s="2630">
        <f t="shared" si="87"/>
        <v>243.64564425013293</v>
      </c>
      <c r="E30" s="2630">
        <f t="shared" si="97"/>
        <v>393.31080825986544</v>
      </c>
      <c r="F30" s="2630">
        <f t="shared" si="97"/>
        <v>223.07903790551154</v>
      </c>
      <c r="G30" s="3461"/>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2584</v>
      </c>
      <c r="B31" s="2630">
        <f t="shared" si="96"/>
        <v>282.50186729015837</v>
      </c>
      <c r="C31" s="2630">
        <f t="shared" si="96"/>
        <v>238.09796174155468</v>
      </c>
      <c r="D31" s="2630">
        <f t="shared" si="87"/>
        <v>238.09796174155468</v>
      </c>
      <c r="E31" s="2630">
        <f t="shared" si="97"/>
        <v>385.33438646014054</v>
      </c>
      <c r="F31" s="2630">
        <f t="shared" si="97"/>
        <v>221.55034055567739</v>
      </c>
      <c r="G31" s="3462"/>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2585</v>
      </c>
      <c r="B32" s="2660">
        <v>278</v>
      </c>
      <c r="C32" s="2660">
        <v>234</v>
      </c>
      <c r="D32" s="2660">
        <f t="shared" si="87"/>
        <v>234</v>
      </c>
      <c r="E32" s="2660">
        <v>379</v>
      </c>
      <c r="F32" s="2661">
        <v>220</v>
      </c>
      <c r="G32" s="3455">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2586</v>
      </c>
      <c r="B33" s="2630">
        <f>B32/(1+N32)</f>
        <v>275.49301357645425</v>
      </c>
      <c r="C33" s="2630">
        <f>C32/(1+O32)</f>
        <v>232.41954707985698</v>
      </c>
      <c r="D33" s="2630">
        <f t="shared" si="87"/>
        <v>232.41954707985698</v>
      </c>
      <c r="E33" s="2630">
        <f t="shared" ref="E33:F35" si="98">E32/(1+P32)</f>
        <v>375.32184591008121</v>
      </c>
      <c r="F33" s="2630">
        <f t="shared" si="98"/>
        <v>218.03766105054513</v>
      </c>
      <c r="G33" s="3453"/>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2587</v>
      </c>
      <c r="B34" s="2630">
        <f>B33/(1+N33)</f>
        <v>275.24529281292263</v>
      </c>
      <c r="C34" s="2630">
        <f>C33/(1+O33)</f>
        <v>231.74747938962707</v>
      </c>
      <c r="D34" s="2630">
        <f t="shared" si="87"/>
        <v>231.74747938962707</v>
      </c>
      <c r="E34" s="2630">
        <f t="shared" si="98"/>
        <v>375.35938184826603</v>
      </c>
      <c r="F34" s="2630">
        <f t="shared" si="98"/>
        <v>216.78033510692495</v>
      </c>
      <c r="G34" s="3453"/>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2588</v>
      </c>
      <c r="B35" s="2630">
        <f>B34/(1+N34)</f>
        <v>275.19025476197027</v>
      </c>
      <c r="C35" s="2662">
        <v>232</v>
      </c>
      <c r="D35" s="2662">
        <f t="shared" si="87"/>
        <v>232</v>
      </c>
      <c r="E35" s="2630">
        <f t="shared" si="98"/>
        <v>375.65990977608692</v>
      </c>
      <c r="F35" s="2630">
        <f t="shared" si="98"/>
        <v>214.12518283971252</v>
      </c>
      <c r="G35" s="3456"/>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2589</v>
      </c>
      <c r="B36" s="2622">
        <v>275</v>
      </c>
      <c r="C36" s="2622">
        <v>232</v>
      </c>
      <c r="D36" s="2622">
        <f t="shared" si="87"/>
        <v>232</v>
      </c>
      <c r="E36" s="2622">
        <v>376</v>
      </c>
      <c r="F36" s="2623">
        <v>213</v>
      </c>
      <c r="G36" s="3455">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2590</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53">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2591</v>
      </c>
      <c r="B38" s="2630">
        <f t="shared" si="99"/>
        <v>275.19335084830601</v>
      </c>
      <c r="C38" s="2630">
        <f t="shared" si="99"/>
        <v>230.18088050139744</v>
      </c>
      <c r="D38" s="2630">
        <f t="shared" si="87"/>
        <v>230.18088050139744</v>
      </c>
      <c r="E38" s="2630">
        <f t="shared" si="100"/>
        <v>377.58482925212331</v>
      </c>
      <c r="F38" s="2630">
        <f t="shared" si="100"/>
        <v>210.90687997847917</v>
      </c>
      <c r="G38" s="3453">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2592</v>
      </c>
      <c r="B39" s="2630">
        <f t="shared" si="99"/>
        <v>276.29854502841971</v>
      </c>
      <c r="C39" s="2630">
        <f t="shared" si="99"/>
        <v>229.79023709833027</v>
      </c>
      <c r="D39" s="2630">
        <f t="shared" si="87"/>
        <v>229.79023709833027</v>
      </c>
      <c r="E39" s="2630">
        <f t="shared" si="100"/>
        <v>379.78759731655936</v>
      </c>
      <c r="F39" s="2630">
        <f t="shared" si="100"/>
        <v>211.32953905659235</v>
      </c>
      <c r="G39" s="3456">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2593</v>
      </c>
      <c r="B40" s="2622">
        <v>269</v>
      </c>
      <c r="C40" s="2622">
        <v>221</v>
      </c>
      <c r="D40" s="2622">
        <f t="shared" si="87"/>
        <v>221</v>
      </c>
      <c r="E40" s="2622">
        <v>373</v>
      </c>
      <c r="F40" s="2623">
        <v>196</v>
      </c>
      <c r="G40" s="3455">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2594</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53">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2595</v>
      </c>
      <c r="B42" s="2630">
        <f t="shared" si="101"/>
        <v>242.95398227588385</v>
      </c>
      <c r="C42" s="2630">
        <f t="shared" si="101"/>
        <v>199.59137053614126</v>
      </c>
      <c r="D42" s="2630">
        <f t="shared" si="87"/>
        <v>199.59137053614126</v>
      </c>
      <c r="E42" s="2630">
        <f t="shared" si="102"/>
        <v>335.92189522342125</v>
      </c>
      <c r="F42" s="2630">
        <f t="shared" si="102"/>
        <v>183.10139991109489</v>
      </c>
      <c r="G42" s="3453">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2596</v>
      </c>
      <c r="B43" s="2630">
        <f t="shared" si="101"/>
        <v>232.06990378821649</v>
      </c>
      <c r="C43" s="2630">
        <f t="shared" si="101"/>
        <v>192.74878854286936</v>
      </c>
      <c r="D43" s="2630">
        <f t="shared" si="87"/>
        <v>192.74878854286936</v>
      </c>
      <c r="E43" s="2630">
        <f t="shared" si="102"/>
        <v>319.71247284992984</v>
      </c>
      <c r="F43" s="2630">
        <f t="shared" si="102"/>
        <v>175.67053622862409</v>
      </c>
      <c r="G43" s="3456">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2597</v>
      </c>
      <c r="B44" s="2622">
        <v>220</v>
      </c>
      <c r="C44" s="2622">
        <v>187</v>
      </c>
      <c r="D44" s="2622">
        <f t="shared" si="87"/>
        <v>187</v>
      </c>
      <c r="E44" s="2622">
        <v>301</v>
      </c>
      <c r="F44" s="2623">
        <v>168</v>
      </c>
      <c r="G44" s="3455">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2598</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53">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2599</v>
      </c>
      <c r="B46" s="2630">
        <f t="shared" si="103"/>
        <v>210.630522469011</v>
      </c>
      <c r="C46" s="2630">
        <f t="shared" si="103"/>
        <v>181.69567812247232</v>
      </c>
      <c r="D46" s="2630">
        <f t="shared" si="87"/>
        <v>181.69567812247232</v>
      </c>
      <c r="E46" s="2630">
        <f t="shared" si="104"/>
        <v>286.13517466736738</v>
      </c>
      <c r="F46" s="2630">
        <f t="shared" si="104"/>
        <v>165.47535084591149</v>
      </c>
      <c r="G46" s="3453">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2600</v>
      </c>
      <c r="B47" s="2630">
        <f t="shared" si="103"/>
        <v>208.83454537875372</v>
      </c>
      <c r="C47" s="2630">
        <f t="shared" si="103"/>
        <v>183.77230517090351</v>
      </c>
      <c r="D47" s="2630">
        <f t="shared" si="87"/>
        <v>183.77230517090351</v>
      </c>
      <c r="E47" s="2630">
        <f t="shared" si="104"/>
        <v>281.10342338870947</v>
      </c>
      <c r="F47" s="2630">
        <f t="shared" si="104"/>
        <v>168.97309388942256</v>
      </c>
      <c r="G47" s="3456">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2601</v>
      </c>
      <c r="B48" s="2660">
        <v>214</v>
      </c>
      <c r="C48" s="2660">
        <v>188</v>
      </c>
      <c r="D48" s="2660">
        <f t="shared" si="87"/>
        <v>188</v>
      </c>
      <c r="E48" s="2660">
        <v>289</v>
      </c>
      <c r="F48" s="2661">
        <v>166</v>
      </c>
      <c r="G48" s="3455">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2602</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53">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2603</v>
      </c>
      <c r="B50" s="2630">
        <f t="shared" si="105"/>
        <v>206.31694671589116</v>
      </c>
      <c r="C50" s="2630">
        <f t="shared" si="105"/>
        <v>183.61041121036101</v>
      </c>
      <c r="D50" s="2630">
        <f t="shared" si="87"/>
        <v>183.61041121036101</v>
      </c>
      <c r="E50" s="2630">
        <f t="shared" si="106"/>
        <v>276.66850301795557</v>
      </c>
      <c r="F50" s="2630">
        <f t="shared" si="106"/>
        <v>165.1360938278614</v>
      </c>
      <c r="G50" s="3453">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2604</v>
      </c>
      <c r="B51" s="2663">
        <f t="shared" si="105"/>
        <v>196.62341248059772</v>
      </c>
      <c r="C51" s="2663">
        <f t="shared" si="105"/>
        <v>170.99125648199012</v>
      </c>
      <c r="D51" s="2663">
        <f t="shared" si="87"/>
        <v>170.99125648199012</v>
      </c>
      <c r="E51" s="2663">
        <f t="shared" si="106"/>
        <v>266.07857570490052</v>
      </c>
      <c r="F51" s="2663">
        <f t="shared" si="106"/>
        <v>154.53499328828505</v>
      </c>
      <c r="G51" s="3456">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2605</v>
      </c>
      <c r="B52" s="2622">
        <v>188</v>
      </c>
      <c r="C52" s="2622">
        <v>165</v>
      </c>
      <c r="D52" s="2622">
        <f t="shared" si="87"/>
        <v>165</v>
      </c>
      <c r="E52" s="2622">
        <v>254</v>
      </c>
      <c r="F52" s="2623">
        <v>148</v>
      </c>
      <c r="G52" s="3455">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2606</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53">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2607</v>
      </c>
      <c r="B54" s="2630">
        <f t="shared" si="109"/>
        <v>168.82017748715555</v>
      </c>
      <c r="C54" s="2630">
        <f t="shared" si="109"/>
        <v>148.06267029972753</v>
      </c>
      <c r="D54" s="2630">
        <f t="shared" si="87"/>
        <v>148.06267029972753</v>
      </c>
      <c r="E54" s="2630">
        <f t="shared" si="110"/>
        <v>216.46288379323747</v>
      </c>
      <c r="F54" s="2630">
        <f t="shared" si="110"/>
        <v>134.23529411764704</v>
      </c>
      <c r="G54" s="3453">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2608</v>
      </c>
      <c r="B55" s="2630">
        <f t="shared" si="109"/>
        <v>163.84913591779542</v>
      </c>
      <c r="C55" s="2630">
        <f t="shared" si="109"/>
        <v>145.0283378746594</v>
      </c>
      <c r="D55" s="2630">
        <f t="shared" si="87"/>
        <v>145.0283378746594</v>
      </c>
      <c r="E55" s="2630">
        <f t="shared" si="110"/>
        <v>204.95180722891567</v>
      </c>
      <c r="F55" s="2630">
        <f t="shared" si="110"/>
        <v>125.95920303605313</v>
      </c>
      <c r="G55" s="3456">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2609</v>
      </c>
      <c r="B56" s="2644">
        <v>159</v>
      </c>
      <c r="C56" s="2644">
        <v>141</v>
      </c>
      <c r="D56" s="2644">
        <f t="shared" si="87"/>
        <v>141</v>
      </c>
      <c r="E56" s="2644">
        <v>195</v>
      </c>
      <c r="F56" s="2645">
        <v>122</v>
      </c>
      <c r="G56" s="3455">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2610</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53">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2611</v>
      </c>
      <c r="B58" s="2630">
        <f t="shared" si="113"/>
        <v>146.57412060301507</v>
      </c>
      <c r="C58" s="2630">
        <f t="shared" si="113"/>
        <v>136.46831955922866</v>
      </c>
      <c r="D58" s="2630">
        <f t="shared" si="87"/>
        <v>136.46831955922866</v>
      </c>
      <c r="E58" s="2630">
        <f t="shared" si="114"/>
        <v>166.73864894795128</v>
      </c>
      <c r="F58" s="2630">
        <f t="shared" si="114"/>
        <v>115.05882352941177</v>
      </c>
      <c r="G58" s="3453">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2612</v>
      </c>
      <c r="B59" s="2630">
        <f t="shared" si="113"/>
        <v>144.04145728643215</v>
      </c>
      <c r="C59" s="2630">
        <f t="shared" si="113"/>
        <v>136.12396694214877</v>
      </c>
      <c r="D59" s="2630">
        <f t="shared" si="87"/>
        <v>136.12396694214877</v>
      </c>
      <c r="E59" s="2630">
        <f t="shared" si="114"/>
        <v>158.32225913621264</v>
      </c>
      <c r="F59" s="2630">
        <f t="shared" si="114"/>
        <v>114.04278074866311</v>
      </c>
      <c r="G59" s="3456">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2613</v>
      </c>
      <c r="B60" s="2644">
        <v>138</v>
      </c>
      <c r="C60" s="2644">
        <v>131</v>
      </c>
      <c r="D60" s="2644">
        <f t="shared" si="87"/>
        <v>131</v>
      </c>
      <c r="E60" s="2644">
        <v>155</v>
      </c>
      <c r="F60" s="2645">
        <v>114</v>
      </c>
      <c r="G60" s="3455">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2614</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53">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2615</v>
      </c>
      <c r="B62" s="2630">
        <f t="shared" si="117"/>
        <v>124.29032258064517</v>
      </c>
      <c r="C62" s="2630">
        <f t="shared" si="117"/>
        <v>123.8968609865471</v>
      </c>
      <c r="D62" s="2630">
        <f t="shared" si="87"/>
        <v>123.8968609865471</v>
      </c>
      <c r="E62" s="2630">
        <f t="shared" si="118"/>
        <v>138.00507614213197</v>
      </c>
      <c r="F62" s="2630">
        <f t="shared" si="118"/>
        <v>107.96106557377048</v>
      </c>
      <c r="G62" s="3453">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2616</v>
      </c>
      <c r="B63" s="2630">
        <f t="shared" si="117"/>
        <v>122.57204301075269</v>
      </c>
      <c r="C63" s="2630">
        <f t="shared" si="117"/>
        <v>123.4932735426009</v>
      </c>
      <c r="D63" s="2630">
        <f t="shared" si="87"/>
        <v>123.4932735426009</v>
      </c>
      <c r="E63" s="2630">
        <f t="shared" si="118"/>
        <v>129.82233502538071</v>
      </c>
      <c r="F63" s="2630">
        <f t="shared" si="118"/>
        <v>107.39446721311475</v>
      </c>
      <c r="G63" s="3456">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2617</v>
      </c>
      <c r="B64" s="2660">
        <v>121</v>
      </c>
      <c r="C64" s="2660">
        <v>122</v>
      </c>
      <c r="D64" s="2660">
        <f t="shared" si="87"/>
        <v>122</v>
      </c>
      <c r="E64" s="2660">
        <v>124</v>
      </c>
      <c r="F64" s="2661">
        <v>107</v>
      </c>
      <c r="G64" s="3455">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2618</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53">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2619</v>
      </c>
      <c r="B66" s="2630">
        <f t="shared" si="121"/>
        <v>116.99099099099099</v>
      </c>
      <c r="C66" s="2630">
        <f t="shared" si="121"/>
        <v>118.84848484848486</v>
      </c>
      <c r="D66" s="2630">
        <f t="shared" si="87"/>
        <v>118.84848484848486</v>
      </c>
      <c r="E66" s="2630">
        <f t="shared" si="122"/>
        <v>117.60960960960961</v>
      </c>
      <c r="F66" s="2630">
        <f t="shared" si="122"/>
        <v>104</v>
      </c>
      <c r="G66" s="3453">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2620</v>
      </c>
      <c r="B67" s="2663">
        <f t="shared" si="121"/>
        <v>112.48648648648648</v>
      </c>
      <c r="C67" s="2663">
        <f t="shared" si="121"/>
        <v>115.21212121212122</v>
      </c>
      <c r="D67" s="2663">
        <f t="shared" si="87"/>
        <v>115.21212121212122</v>
      </c>
      <c r="E67" s="2663">
        <f t="shared" si="122"/>
        <v>110.4024024024024</v>
      </c>
      <c r="F67" s="2663">
        <f t="shared" si="122"/>
        <v>104</v>
      </c>
      <c r="G67" s="3456">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2621</v>
      </c>
      <c r="B68" s="2681">
        <v>111</v>
      </c>
      <c r="C68" s="2681">
        <v>114</v>
      </c>
      <c r="D68" s="2681">
        <f t="shared" si="87"/>
        <v>114</v>
      </c>
      <c r="E68" s="2681">
        <v>108</v>
      </c>
      <c r="F68" s="2682">
        <v>104</v>
      </c>
      <c r="G68" s="3455">
        <v>2003</v>
      </c>
      <c r="H68" s="2671">
        <v>4</v>
      </c>
      <c r="I68" s="2683"/>
      <c r="J68" s="2683"/>
      <c r="K68" s="2683"/>
      <c r="L68" s="2683"/>
      <c r="N68" s="2684"/>
      <c r="O68" s="2683"/>
      <c r="P68" s="2683"/>
      <c r="Q68" s="2683"/>
      <c r="S68" s="2684"/>
      <c r="T68" s="2683"/>
      <c r="U68" s="2683"/>
      <c r="V68" s="2683"/>
      <c r="X68" s="2675"/>
      <c r="Y68" s="2675"/>
      <c r="Z68" s="2675"/>
    </row>
    <row r="69" spans="1:26">
      <c r="A69" s="2617" t="s">
        <v>2622</v>
      </c>
      <c r="B69" s="2685">
        <f t="shared" ref="B69:C71" si="123">B70+(B$68-B$72)/4</f>
        <v>109.75</v>
      </c>
      <c r="C69" s="2685">
        <f t="shared" si="123"/>
        <v>112.25</v>
      </c>
      <c r="D69" s="2685">
        <f t="shared" si="87"/>
        <v>112.25</v>
      </c>
      <c r="E69" s="2685">
        <f t="shared" ref="E69:F71" si="124">E70+(E$68-E$72)/4</f>
        <v>107.25</v>
      </c>
      <c r="F69" s="2685">
        <f t="shared" si="124"/>
        <v>103.5</v>
      </c>
      <c r="G69" s="3453">
        <v>2003</v>
      </c>
      <c r="H69" s="2641">
        <v>3</v>
      </c>
      <c r="I69" s="2683"/>
      <c r="J69" s="2683"/>
      <c r="K69" s="2683"/>
      <c r="L69" s="2683"/>
      <c r="X69" s="2675"/>
      <c r="Y69" s="2675"/>
      <c r="Z69" s="2675"/>
    </row>
    <row r="70" spans="1:26">
      <c r="A70" s="2617" t="s">
        <v>2623</v>
      </c>
      <c r="B70" s="2685">
        <f t="shared" si="123"/>
        <v>108.5</v>
      </c>
      <c r="C70" s="2685">
        <f t="shared" si="123"/>
        <v>110.5</v>
      </c>
      <c r="D70" s="2685">
        <f t="shared" si="87"/>
        <v>110.5</v>
      </c>
      <c r="E70" s="2685">
        <f t="shared" si="124"/>
        <v>106.5</v>
      </c>
      <c r="F70" s="2685">
        <f t="shared" si="124"/>
        <v>103</v>
      </c>
      <c r="G70" s="3453">
        <v>2003</v>
      </c>
      <c r="H70" s="2621">
        <v>2</v>
      </c>
      <c r="I70" s="2683"/>
      <c r="J70" s="2683"/>
      <c r="K70" s="2683"/>
      <c r="L70" s="2683"/>
      <c r="X70" s="2675"/>
      <c r="Y70" s="2675"/>
      <c r="Z70" s="2675"/>
    </row>
    <row r="71" spans="1:26" ht="13.5" thickBot="1">
      <c r="A71" s="2617" t="s">
        <v>2624</v>
      </c>
      <c r="B71" s="2685">
        <f t="shared" si="123"/>
        <v>107.25</v>
      </c>
      <c r="C71" s="2685">
        <f t="shared" si="123"/>
        <v>108.75</v>
      </c>
      <c r="D71" s="2685">
        <f t="shared" si="87"/>
        <v>108.75</v>
      </c>
      <c r="E71" s="2685">
        <f t="shared" si="124"/>
        <v>105.75</v>
      </c>
      <c r="F71" s="2685">
        <f t="shared" si="124"/>
        <v>102.5</v>
      </c>
      <c r="G71" s="3456">
        <v>2003</v>
      </c>
      <c r="H71" s="2686">
        <v>1</v>
      </c>
      <c r="I71" s="2683"/>
      <c r="J71" s="2683"/>
      <c r="K71" s="2683"/>
      <c r="L71" s="2683"/>
      <c r="S71" s="2625"/>
      <c r="T71" s="2626"/>
      <c r="U71" s="2626"/>
      <c r="X71" s="2675"/>
      <c r="Y71" s="2675"/>
      <c r="Z71" s="2675"/>
    </row>
    <row r="72" spans="1:26" ht="13.5" thickBot="1">
      <c r="A72" s="2617" t="s">
        <v>2625</v>
      </c>
      <c r="B72" s="2687">
        <v>106</v>
      </c>
      <c r="C72" s="2687">
        <v>107</v>
      </c>
      <c r="D72" s="2687">
        <f t="shared" si="87"/>
        <v>107</v>
      </c>
      <c r="E72" s="2687">
        <v>105</v>
      </c>
      <c r="F72" s="2688">
        <v>102</v>
      </c>
      <c r="G72" s="3455">
        <v>2002</v>
      </c>
      <c r="H72" s="2636">
        <v>4</v>
      </c>
      <c r="I72" s="2683"/>
      <c r="J72" s="2683"/>
      <c r="K72" s="2683"/>
      <c r="L72" s="2683"/>
      <c r="N72" s="2684"/>
      <c r="O72" s="2683"/>
      <c r="P72" s="2683"/>
      <c r="Q72" s="2683"/>
      <c r="S72" s="2684"/>
      <c r="T72" s="2683"/>
      <c r="U72" s="2683"/>
      <c r="V72" s="2683"/>
      <c r="X72" s="2675"/>
      <c r="Y72" s="2675"/>
      <c r="Z72" s="2675"/>
    </row>
    <row r="73" spans="1:26">
      <c r="A73" s="2617" t="s">
        <v>2626</v>
      </c>
      <c r="B73" s="2685">
        <f t="shared" ref="B73:C75" si="125">B74+(B$72-B$76)/4</f>
        <v>105</v>
      </c>
      <c r="C73" s="2685">
        <f t="shared" si="125"/>
        <v>106</v>
      </c>
      <c r="D73" s="2685">
        <f t="shared" si="87"/>
        <v>106</v>
      </c>
      <c r="E73" s="2685">
        <f t="shared" ref="E73:F75" si="126">E74+(E$72-E$76)/4</f>
        <v>104.5</v>
      </c>
      <c r="F73" s="2685">
        <f t="shared" si="126"/>
        <v>101.5</v>
      </c>
      <c r="G73" s="3453">
        <v>2002</v>
      </c>
      <c r="H73" s="2641">
        <v>3</v>
      </c>
      <c r="I73" s="2683"/>
      <c r="J73" s="2683"/>
      <c r="K73" s="2683"/>
      <c r="L73" s="2683"/>
      <c r="X73" s="2675"/>
      <c r="Y73" s="2675"/>
      <c r="Z73" s="2675"/>
    </row>
    <row r="74" spans="1:26">
      <c r="A74" s="2617" t="s">
        <v>2627</v>
      </c>
      <c r="B74" s="2685">
        <f t="shared" si="125"/>
        <v>104</v>
      </c>
      <c r="C74" s="2685">
        <f t="shared" si="125"/>
        <v>105</v>
      </c>
      <c r="D74" s="2685">
        <f t="shared" si="87"/>
        <v>105</v>
      </c>
      <c r="E74" s="2685">
        <f t="shared" si="126"/>
        <v>104</v>
      </c>
      <c r="F74" s="2685">
        <f t="shared" si="126"/>
        <v>101</v>
      </c>
      <c r="G74" s="3453">
        <v>2002</v>
      </c>
      <c r="H74" s="2621">
        <v>2</v>
      </c>
      <c r="I74" s="2683"/>
      <c r="J74" s="2683"/>
      <c r="K74" s="2683"/>
      <c r="L74" s="2683"/>
      <c r="X74" s="2675"/>
      <c r="Y74" s="2675"/>
      <c r="Z74" s="2675"/>
    </row>
    <row r="75" spans="1:26" s="2652" customFormat="1" ht="13.5" thickBot="1">
      <c r="A75" s="2648" t="s">
        <v>2628</v>
      </c>
      <c r="B75" s="2689">
        <f t="shared" si="125"/>
        <v>103</v>
      </c>
      <c r="C75" s="2689">
        <f t="shared" si="125"/>
        <v>104</v>
      </c>
      <c r="D75" s="2689">
        <f t="shared" si="87"/>
        <v>104</v>
      </c>
      <c r="E75" s="2689">
        <f t="shared" si="126"/>
        <v>103.5</v>
      </c>
      <c r="F75" s="2689">
        <f t="shared" si="126"/>
        <v>100.5</v>
      </c>
      <c r="G75" s="3456">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2629</v>
      </c>
      <c r="G78" s="2699"/>
      <c r="N78" s="2699"/>
      <c r="S78" s="2699"/>
    </row>
    <row r="79" spans="1:26" s="2698" customFormat="1">
      <c r="A79" s="2698" t="s">
        <v>2630</v>
      </c>
      <c r="G79" s="2699"/>
      <c r="N79" s="2699"/>
      <c r="S79" s="2699"/>
    </row>
    <row r="80" spans="1:26" s="2698" customFormat="1">
      <c r="A80" s="2698" t="s">
        <v>2631</v>
      </c>
      <c r="G80" s="2699"/>
      <c r="I80" s="2700"/>
      <c r="J80" s="2700"/>
      <c r="K80" s="2700"/>
      <c r="L80" s="2700"/>
      <c r="N80" s="2701"/>
      <c r="O80" s="2700"/>
      <c r="P80" s="2700"/>
      <c r="Q80" s="2700"/>
      <c r="S80" s="2701"/>
      <c r="T80" s="2700"/>
      <c r="U80" s="2700"/>
      <c r="V80" s="2700"/>
    </row>
    <row r="81" spans="1:22" s="2698" customFormat="1">
      <c r="A81" s="2698" t="s">
        <v>2632</v>
      </c>
      <c r="G81" s="2699"/>
      <c r="N81" s="2699"/>
      <c r="S81" s="2699"/>
    </row>
    <row r="88" spans="1:22" ht="13.5" thickBot="1"/>
    <row r="89" spans="1:22">
      <c r="G89" s="2624"/>
      <c r="S89" s="2702" t="s">
        <v>2633</v>
      </c>
      <c r="T89" s="2703" t="s">
        <v>2634</v>
      </c>
      <c r="U89" s="2703" t="s">
        <v>2635</v>
      </c>
      <c r="V89" s="2703" t="s">
        <v>2636</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中粮信托有限责任公司：</v>
      </c>
    </row>
    <row r="4" spans="1:4" ht="37.5">
      <c r="A4" s="1774" t="str">
        <f>"受贵公司委托，我公司对"&amp;项目基本情况!K2&amp;项目基本情况!B9&amp;"进行了预评估。"</f>
        <v>受贵公司委托，我公司对山东省潍坊市青州市胶王路北侧一宗商业、住宅用地出让国有建设用地使用权抵押价格进行了预评估。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潍坊市青州市胶王路北侧一宗商业、住宅用地出让国有建设用地使用权。根据《国有土地使用证》[青国用（2011）第01011号]，估价对象（分摊）出让国有建设用地使用权面积为320191.1平方米。根据，估价对象规划建筑面积为704420.42平方米。</v>
      </c>
    </row>
    <row r="7" spans="1:4" ht="56.25">
      <c r="A7" s="1778" t="s">
        <v>2745</v>
      </c>
    </row>
    <row r="8" spans="1:4" ht="18.75">
      <c r="A8" s="1777" t="s">
        <v>1906</v>
      </c>
    </row>
    <row r="9" spans="1:4" ht="75">
      <c r="A9" s="1779" t="str">
        <f>IF(项目基本情况!B8="抵押",IF(项目基本情况!B5=项目基本情况!B6,定义!C51,定义!B51),定义!D51)</f>
        <v>委托估价方在向金融机构（青州市宏源公有资产经营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2019年7月19日（评估专业人员勘察现场之日）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根据《国有土地使用证》[]，本次评估估价对象证载（地类）用途为商住。</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根据《国有土地使用证》[青国用（2011）第01011号]，估价对象（分摊）出让国有建设用地使用权面积为320191.1平方米。根据，估价对象规划建筑面积为704420.42平方米。</v>
      </c>
    </row>
    <row r="21" spans="1:1" ht="18.75">
      <c r="A21" s="1774" t="s">
        <v>2073</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2056年4月10日、商业2056年4月10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2946</v>
      </c>
      <c r="B1" s="3055"/>
      <c r="C1" s="3055"/>
      <c r="D1" s="3055"/>
      <c r="E1" s="3055"/>
      <c r="F1" s="3055"/>
    </row>
    <row r="2" spans="1:6" ht="14.25">
      <c r="A2" s="3056" t="s">
        <v>2941</v>
      </c>
      <c r="B2" s="3057" t="e">
        <f ca="1">SUMIF(B7:B14,"&lt;&gt;#ref!",B7:B14)</f>
        <v>#DIV/0!</v>
      </c>
      <c r="C2" s="3056" t="s">
        <v>2942</v>
      </c>
      <c r="D2" s="3055"/>
      <c r="E2" s="3055"/>
      <c r="F2" s="3055"/>
    </row>
    <row r="3" spans="1:6" ht="14.25">
      <c r="A3" s="3056" t="s">
        <v>2974</v>
      </c>
      <c r="B3" s="3057" t="e">
        <f ca="1">ROUND(B2*10000/E3,0)</f>
        <v>#DIV/0!</v>
      </c>
      <c r="C3" s="3056" t="s">
        <v>2077</v>
      </c>
      <c r="D3" s="3056" t="s">
        <v>2943</v>
      </c>
      <c r="E3" s="3057">
        <f ca="1">SUMIF(E7:E14,"&lt;&gt;#ref!",E7:E14)</f>
        <v>0</v>
      </c>
      <c r="F3" s="3055"/>
    </row>
    <row r="4" spans="1:6" ht="14.25">
      <c r="A4" s="3056" t="s">
        <v>2950</v>
      </c>
      <c r="B4" s="3057" t="e">
        <f ca="1">ROUND(B2*10000/E4,0)</f>
        <v>#DIV/0!</v>
      </c>
      <c r="C4" s="3056" t="s">
        <v>2077</v>
      </c>
      <c r="D4" s="3056" t="s">
        <v>2951</v>
      </c>
      <c r="E4" s="3057">
        <f ca="1">SUMIF(F7:F14,"&lt;&gt;#ref!",F7:F14)</f>
        <v>0</v>
      </c>
      <c r="F4" s="3055"/>
    </row>
    <row r="5" spans="1:6" ht="14.25">
      <c r="A5" s="3058"/>
      <c r="B5" s="1864"/>
      <c r="C5" s="1864"/>
      <c r="D5" s="1864"/>
      <c r="E5" s="1864"/>
      <c r="F5" s="3055"/>
    </row>
    <row r="6" spans="1:6" ht="28.5">
      <c r="A6" s="3059" t="s">
        <v>2947</v>
      </c>
      <c r="B6" s="3056" t="s">
        <v>2944</v>
      </c>
      <c r="C6" s="3057"/>
      <c r="D6" s="1864"/>
      <c r="E6" s="3056" t="s">
        <v>2945</v>
      </c>
      <c r="F6" s="3056" t="s">
        <v>2949</v>
      </c>
    </row>
    <row r="7" spans="1:6" ht="14.25">
      <c r="A7" s="258" t="s">
        <v>2948</v>
      </c>
      <c r="B7" s="3060" t="e">
        <f ca="1">SUMIF(INDIRECT("'"&amp;A7&amp;"'"&amp;"!A:A"),"总价",INDIRECT("'"&amp;A7&amp;"'"&amp;"!B:B"))</f>
        <v>#DIV/0!</v>
      </c>
      <c r="C7" s="3056" t="s">
        <v>2942</v>
      </c>
      <c r="D7" s="1864"/>
      <c r="E7" s="3061">
        <f ca="1">SUMIF(INDIRECT("'"&amp;A7&amp;"'"&amp;"!C:C"),"建筑面积",INDIRECT("'"&amp;A7&amp;"'"&amp;"!D:D"))</f>
        <v>0</v>
      </c>
      <c r="F7" s="3061">
        <f ca="1">SUMIF(INDIRECT("'"&amp;A7&amp;"'"&amp;"!E:E"),"土地面积",INDIRECT("'"&amp;A7&amp;"'"&amp;"!F:F"))</f>
        <v>0</v>
      </c>
    </row>
    <row r="8" spans="1:6" ht="14.25">
      <c r="A8" s="258"/>
      <c r="B8" s="3060" t="e">
        <f t="shared" ref="B8:B14" ca="1" si="0">SUMIF(INDIRECT("'"&amp;A8&amp;"'"&amp;"!A:A"),"总价",INDIRECT("'"&amp;A8&amp;"'"&amp;"!B:B"))</f>
        <v>#REF!</v>
      </c>
      <c r="C8" s="3056" t="s">
        <v>2942</v>
      </c>
      <c r="D8" s="1864"/>
      <c r="E8" s="3061" t="e">
        <f t="shared" ref="E8:E14" ca="1" si="1">SUMIF(INDIRECT("'"&amp;A8&amp;"'"&amp;"!C:C"),"建筑面积",INDIRECT("'"&amp;A8&amp;"'"&amp;"!D:D"))</f>
        <v>#REF!</v>
      </c>
      <c r="F8" s="3061" t="e">
        <f t="shared" ref="F8:F14" ca="1" si="2">SUMIF(INDIRECT("'"&amp;A8&amp;"'"&amp;"!E:E"),"土地面积",INDIRECT("'"&amp;A8&amp;"'"&amp;"!F:F"))</f>
        <v>#REF!</v>
      </c>
    </row>
    <row r="9" spans="1:6" ht="14.25">
      <c r="A9" s="258"/>
      <c r="B9" s="3060" t="e">
        <f t="shared" ca="1" si="0"/>
        <v>#REF!</v>
      </c>
      <c r="C9" s="3056" t="s">
        <v>2942</v>
      </c>
      <c r="D9" s="1864"/>
      <c r="E9" s="3061" t="e">
        <f t="shared" ca="1" si="1"/>
        <v>#REF!</v>
      </c>
      <c r="F9" s="3061" t="e">
        <f t="shared" ca="1" si="2"/>
        <v>#REF!</v>
      </c>
    </row>
    <row r="10" spans="1:6" ht="14.25">
      <c r="A10" s="258"/>
      <c r="B10" s="3060" t="e">
        <f t="shared" ca="1" si="0"/>
        <v>#REF!</v>
      </c>
      <c r="C10" s="3056" t="s">
        <v>2942</v>
      </c>
      <c r="D10" s="1864"/>
      <c r="E10" s="3061" t="e">
        <f t="shared" ca="1" si="1"/>
        <v>#REF!</v>
      </c>
      <c r="F10" s="3061" t="e">
        <f t="shared" ca="1" si="2"/>
        <v>#REF!</v>
      </c>
    </row>
    <row r="11" spans="1:6" ht="14.25">
      <c r="A11" s="258"/>
      <c r="B11" s="3060" t="e">
        <f t="shared" ca="1" si="0"/>
        <v>#REF!</v>
      </c>
      <c r="C11" s="3056" t="s">
        <v>2942</v>
      </c>
      <c r="D11" s="1864"/>
      <c r="E11" s="3061" t="e">
        <f t="shared" ca="1" si="1"/>
        <v>#REF!</v>
      </c>
      <c r="F11" s="3061" t="e">
        <f t="shared" ca="1" si="2"/>
        <v>#REF!</v>
      </c>
    </row>
    <row r="12" spans="1:6" ht="14.25">
      <c r="A12" s="258"/>
      <c r="B12" s="3060" t="e">
        <f t="shared" ca="1" si="0"/>
        <v>#REF!</v>
      </c>
      <c r="C12" s="3056" t="s">
        <v>2942</v>
      </c>
      <c r="D12" s="1864"/>
      <c r="E12" s="3061" t="e">
        <f t="shared" ca="1" si="1"/>
        <v>#REF!</v>
      </c>
      <c r="F12" s="3061" t="e">
        <f t="shared" ca="1" si="2"/>
        <v>#REF!</v>
      </c>
    </row>
    <row r="13" spans="1:6" ht="14.25">
      <c r="A13" s="258"/>
      <c r="B13" s="3060" t="e">
        <f t="shared" ca="1" si="0"/>
        <v>#REF!</v>
      </c>
      <c r="C13" s="3056" t="s">
        <v>2942</v>
      </c>
      <c r="D13" s="1864"/>
      <c r="E13" s="3061" t="e">
        <f t="shared" ca="1" si="1"/>
        <v>#REF!</v>
      </c>
      <c r="F13" s="3061" t="e">
        <f t="shared" ca="1" si="2"/>
        <v>#REF!</v>
      </c>
    </row>
    <row r="14" spans="1:6" ht="14.25">
      <c r="A14" s="3054"/>
      <c r="B14" s="3060" t="e">
        <f t="shared" ca="1" si="0"/>
        <v>#REF!</v>
      </c>
      <c r="C14" s="3056" t="s">
        <v>2942</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2372</v>
      </c>
      <c r="F1" s="2350">
        <f ca="1">J54</f>
        <v>-3.5</v>
      </c>
      <c r="G1" s="772">
        <f>MATCH(C1,'数据-取费表'!A6:A16,0)+5</f>
        <v>8</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4" t="s">
        <v>695</v>
      </c>
      <c r="I3" s="2040"/>
      <c r="J3" s="2040"/>
      <c r="K3" s="2041"/>
      <c r="L3" s="2040"/>
      <c r="M3" s="2040"/>
    </row>
    <row r="4" spans="1:25" ht="18" customHeight="1">
      <c r="A4" s="1629" t="s">
        <v>696</v>
      </c>
      <c r="B4" s="1345">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2456</v>
      </c>
      <c r="C7" s="53">
        <f ca="1">C8+C12+C14</f>
        <v>0</v>
      </c>
      <c r="D7" s="2458" t="s">
        <v>2459</v>
      </c>
      <c r="E7" s="2452"/>
      <c r="F7" s="2453"/>
      <c r="G7" s="1576"/>
      <c r="H7" s="779">
        <v>1</v>
      </c>
      <c r="I7" s="780" t="s">
        <v>2456</v>
      </c>
      <c r="J7" s="53">
        <f ca="1">J8+J12+J14</f>
        <v>0</v>
      </c>
      <c r="K7" s="2458" t="s">
        <v>2459</v>
      </c>
      <c r="L7" s="2452"/>
      <c r="M7" s="2453"/>
    </row>
    <row r="8" spans="1:25" ht="18" customHeight="1">
      <c r="A8" s="1813" t="s">
        <v>1824</v>
      </c>
      <c r="B8" s="3464" t="s">
        <v>2461</v>
      </c>
      <c r="C8" s="1808">
        <f ca="1">ROUND(F8*F10*F9*(1-F11)/10000,0)</f>
        <v>0</v>
      </c>
      <c r="D8" s="1805" t="s">
        <v>2532</v>
      </c>
      <c r="E8" s="61" t="s">
        <v>637</v>
      </c>
      <c r="F8" s="783">
        <f ca="1">INDIRECT("'数据-取费表'!u"&amp;$G$1)</f>
        <v>0</v>
      </c>
      <c r="G8" s="1576"/>
      <c r="H8" s="2466" t="s">
        <v>1824</v>
      </c>
      <c r="I8" s="3464" t="s">
        <v>2461</v>
      </c>
      <c r="J8" s="781">
        <f ca="1">ROUND(M8*M10*M9*(1-M11)/10000,0)</f>
        <v>0</v>
      </c>
      <c r="K8" s="339" t="s">
        <v>2532</v>
      </c>
      <c r="L8" s="782" t="s">
        <v>1738</v>
      </c>
      <c r="M8" s="783">
        <f ca="1">INDIRECT("'数据-取费表'!z"&amp;$G$1)</f>
        <v>0</v>
      </c>
    </row>
    <row r="9" spans="1:25" ht="18" customHeight="1">
      <c r="A9" s="2462"/>
      <c r="B9" s="3465"/>
      <c r="C9" s="1809"/>
      <c r="D9" s="1806"/>
      <c r="E9" s="61" t="s">
        <v>638</v>
      </c>
      <c r="F9" s="783">
        <f ca="1">IF(INDIRECT("'数据-取费表'!ah"&amp;$G$1)="",INDIRECT("'数据-取费表'!k"&amp;$G$1),INDIRECT("'数据-取费表'!ah"&amp;$G$1))</f>
        <v>0</v>
      </c>
      <c r="G9" s="1576"/>
      <c r="H9" s="2451"/>
      <c r="I9" s="3465"/>
      <c r="J9" s="786"/>
      <c r="K9" s="787"/>
      <c r="L9" s="782" t="s">
        <v>1739</v>
      </c>
      <c r="M9" s="783">
        <f ca="1">F9</f>
        <v>0</v>
      </c>
    </row>
    <row r="10" spans="1:25" ht="18" customHeight="1">
      <c r="A10" s="2455"/>
      <c r="B10" s="3466"/>
      <c r="C10" s="1809"/>
      <c r="D10" s="1806"/>
      <c r="E10" s="61" t="s">
        <v>639</v>
      </c>
      <c r="F10" s="783">
        <f ca="1">INDIRECT("'数据-取费表'!ai"&amp;$G$1)</f>
        <v>0</v>
      </c>
      <c r="G10" s="1576"/>
      <c r="H10" s="2451"/>
      <c r="I10" s="3466"/>
      <c r="J10" s="786"/>
      <c r="K10" s="787"/>
      <c r="L10" s="782" t="s">
        <v>1740</v>
      </c>
      <c r="M10" s="783">
        <f ca="1">INDIRECT("'数据-取费表'!ai"&amp;$G$1)</f>
        <v>0</v>
      </c>
    </row>
    <row r="11" spans="1:25" ht="18" customHeight="1">
      <c r="A11" s="784"/>
      <c r="B11" s="3467"/>
      <c r="C11" s="1809"/>
      <c r="D11" s="1806"/>
      <c r="E11" s="61" t="s">
        <v>640</v>
      </c>
      <c r="F11" s="792">
        <f ca="1">INDIRECT("'数据-取费表'!w"&amp;$G$1)</f>
        <v>0</v>
      </c>
      <c r="G11" s="1576"/>
      <c r="H11" s="2467"/>
      <c r="I11" s="3466"/>
      <c r="J11" s="786"/>
      <c r="K11" s="787"/>
      <c r="L11" s="793" t="s">
        <v>1741</v>
      </c>
      <c r="M11" s="794">
        <f ca="1">INDIRECT("'数据-取费表'!ab"&amp;$G$1)</f>
        <v>0</v>
      </c>
    </row>
    <row r="12" spans="1:25" ht="18" customHeight="1">
      <c r="A12" s="1813" t="s">
        <v>1825</v>
      </c>
      <c r="B12" s="2456" t="s">
        <v>2457</v>
      </c>
      <c r="C12" s="797">
        <f ca="1">ROUND(IF(F12="押一",C8/12*F13,IF(F12="押二",C8/12*2*F13,IF(F12="押三",C8/12*3*F13,C13*F13))),0)</f>
        <v>0</v>
      </c>
      <c r="D12" s="2463" t="s">
        <v>2971</v>
      </c>
      <c r="E12" s="2460" t="s">
        <v>2462</v>
      </c>
      <c r="F12" s="2583"/>
      <c r="G12" s="1576"/>
      <c r="H12" s="2523" t="s">
        <v>1825</v>
      </c>
      <c r="I12" s="2528" t="s">
        <v>2457</v>
      </c>
      <c r="J12" s="781">
        <f ca="1">ROUND(IF(M12="押一",J8/12*M13,IF(M12="押二",J8/12*2*M13,IF(M12="押三",J8/12*3*M13,J13*M13))),0)</f>
        <v>0</v>
      </c>
      <c r="K12" s="2463" t="s">
        <v>2971</v>
      </c>
      <c r="L12" s="2460" t="s">
        <v>2462</v>
      </c>
      <c r="M12" s="2583"/>
    </row>
    <row r="13" spans="1:25" ht="18" customHeight="1">
      <c r="A13" s="788"/>
      <c r="B13" s="2457" t="s">
        <v>2571</v>
      </c>
      <c r="C13" s="2461"/>
      <c r="D13" s="787"/>
      <c r="E13" s="2460" t="s">
        <v>2454</v>
      </c>
      <c r="F13" s="794">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0">
        <f ca="1">ROUND(C31*F15,0)</f>
        <v>0</v>
      </c>
      <c r="D15" s="1817" t="s">
        <v>642</v>
      </c>
      <c r="E15" s="793" t="s">
        <v>643</v>
      </c>
      <c r="F15" s="798">
        <f ca="1">INDIRECT("'数据-取费表'!y"&amp;$G$1)</f>
        <v>0</v>
      </c>
      <c r="G15" s="1576"/>
      <c r="H15" s="1812" t="s">
        <v>1826</v>
      </c>
      <c r="I15" s="1810" t="s">
        <v>644</v>
      </c>
      <c r="J15" s="1802">
        <f ca="1">ROUND(J16*J17,0)</f>
        <v>0</v>
      </c>
      <c r="K15" s="1804" t="s">
        <v>642</v>
      </c>
      <c r="L15" s="799"/>
      <c r="M15" s="800"/>
    </row>
    <row r="16" spans="1:25" ht="18" customHeight="1">
      <c r="A16" s="801" t="s">
        <v>1875</v>
      </c>
      <c r="B16" s="782" t="s">
        <v>645</v>
      </c>
      <c r="C16" s="802">
        <f ca="1">INDIRECT("'数据-取费表'!m"&amp;$G$1)+INDIRECT("'数据-取费表'!t"&amp;$G$1)</f>
        <v>0</v>
      </c>
      <c r="D16" s="1962" t="s">
        <v>646</v>
      </c>
      <c r="E16" s="1963"/>
      <c r="F16" s="803"/>
      <c r="G16" s="1576"/>
      <c r="H16" s="801" t="s">
        <v>2068</v>
      </c>
      <c r="I16" s="2214" t="s">
        <v>2823</v>
      </c>
      <c r="J16" s="53">
        <f ca="1">C31</f>
        <v>0</v>
      </c>
      <c r="K16" s="26"/>
      <c r="L16" s="799"/>
      <c r="M16" s="800"/>
    </row>
    <row r="17" spans="1:25" s="2047" customFormat="1" ht="18" customHeight="1">
      <c r="A17" s="801" t="s">
        <v>1849</v>
      </c>
      <c r="B17" s="782" t="s">
        <v>647</v>
      </c>
      <c r="C17" s="53">
        <f ca="1">ROUND(C16*F17,0)</f>
        <v>0</v>
      </c>
      <c r="D17" s="804" t="s">
        <v>648</v>
      </c>
      <c r="E17" s="804" t="s">
        <v>649</v>
      </c>
      <c r="F17" s="805">
        <f>'数据-取费表'!B33</f>
        <v>0.05</v>
      </c>
      <c r="G17" s="1577"/>
      <c r="H17" s="801" t="s">
        <v>2069</v>
      </c>
      <c r="I17" s="782" t="s">
        <v>643</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6"/>
      <c r="H18" s="795" t="s">
        <v>1827</v>
      </c>
      <c r="I18" s="796" t="s">
        <v>651</v>
      </c>
      <c r="J18" s="797">
        <f ca="1">ROUND(J19+J24+J25+J26,0)</f>
        <v>0</v>
      </c>
      <c r="K18" s="26" t="s">
        <v>652</v>
      </c>
      <c r="L18" s="1965"/>
      <c r="M18" s="56"/>
    </row>
    <row r="19" spans="1:25" s="2047" customFormat="1" ht="18" customHeight="1">
      <c r="A19" s="801" t="s">
        <v>1851</v>
      </c>
      <c r="B19" s="782" t="s">
        <v>653</v>
      </c>
      <c r="C19" s="53">
        <f ca="1">ROUND(F19*(INDIRECT("'数据-取费表'!k"&amp;$G$1)+INDIRECT("'数据-取费表'!S"&amp;$G$1))/10000,0)</f>
        <v>0</v>
      </c>
      <c r="D19" s="782" t="s">
        <v>654</v>
      </c>
      <c r="E19" s="782" t="s">
        <v>655</v>
      </c>
      <c r="F19" s="56">
        <f>'数据-取费表'!B35</f>
        <v>200</v>
      </c>
      <c r="G19" s="1577"/>
      <c r="H19" s="801" t="s">
        <v>2068</v>
      </c>
      <c r="I19" s="782" t="s">
        <v>656</v>
      </c>
      <c r="J19" s="53">
        <f ca="1">ROUND(IF(项目基本情况!B11="自然人",J7*M19,J20+J21+J22),0)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1852</v>
      </c>
      <c r="B20" s="782" t="s">
        <v>659</v>
      </c>
      <c r="C20" s="53">
        <f ca="1">ROUND(C16*F20,0)</f>
        <v>0</v>
      </c>
      <c r="D20" s="782" t="s">
        <v>648</v>
      </c>
      <c r="E20" s="782" t="s">
        <v>649</v>
      </c>
      <c r="F20" s="807">
        <f>'数据-取费表'!B36</f>
        <v>1.4999999999999999E-2</v>
      </c>
      <c r="G20" s="1577"/>
      <c r="H20" s="801" t="s">
        <v>1831</v>
      </c>
      <c r="I20" s="782" t="s">
        <v>660</v>
      </c>
      <c r="J20" s="53">
        <f ca="1">ROUND(J7*M20/1.05,1)</f>
        <v>0</v>
      </c>
      <c r="K20" s="1960" t="s">
        <v>661</v>
      </c>
      <c r="L20" s="782" t="s">
        <v>649</v>
      </c>
      <c r="M20" s="807">
        <f>'数据-取费表'!B41</f>
        <v>5.6000000000000001E-2</v>
      </c>
      <c r="N20" s="2046"/>
      <c r="O20" s="2046"/>
      <c r="P20" s="2046"/>
      <c r="Q20" s="2046"/>
      <c r="R20" s="2046"/>
      <c r="S20" s="2046"/>
      <c r="T20" s="2046"/>
      <c r="U20" s="2046"/>
      <c r="V20" s="2046"/>
      <c r="W20" s="2046"/>
      <c r="X20" s="2046"/>
      <c r="Y20" s="2046"/>
    </row>
    <row r="21" spans="1:25" ht="18" customHeight="1">
      <c r="A21" s="801" t="s">
        <v>1876</v>
      </c>
      <c r="B21" s="782" t="s">
        <v>662</v>
      </c>
      <c r="C21" s="53">
        <f ca="1">SUM(C16:C20)</f>
        <v>0</v>
      </c>
      <c r="D21" s="259" t="s">
        <v>663</v>
      </c>
      <c r="E21" s="1965"/>
      <c r="F21" s="56"/>
      <c r="G21" s="1576"/>
      <c r="H21" s="1813" t="s">
        <v>1849</v>
      </c>
      <c r="I21" s="782" t="s">
        <v>664</v>
      </c>
      <c r="J21" s="53">
        <f ca="1">IF(K21="按租金收入计税",ROUND(J7*M21,1),ROUND(C31*F35*0.7,1))</f>
        <v>0</v>
      </c>
      <c r="K21" s="809" t="s">
        <v>665</v>
      </c>
      <c r="L21" s="782" t="s">
        <v>649</v>
      </c>
      <c r="M21" s="807">
        <f>IF(K21="按租金收入计税",'数据-取费表'!B51,'数据-取费表'!B50)</f>
        <v>1.2E-2</v>
      </c>
    </row>
    <row r="22" spans="1:25" s="2047" customFormat="1" ht="18" customHeight="1">
      <c r="A22" s="801" t="s">
        <v>1877</v>
      </c>
      <c r="B22" s="782" t="s">
        <v>666</v>
      </c>
      <c r="C22" s="53">
        <f ca="1">ROUND(C21*F22,0)</f>
        <v>0</v>
      </c>
      <c r="D22" s="810" t="s">
        <v>667</v>
      </c>
      <c r="E22" s="782" t="s">
        <v>649</v>
      </c>
      <c r="F22" s="807">
        <f>'数据-取费表'!B37</f>
        <v>0.02</v>
      </c>
      <c r="G22" s="1577"/>
      <c r="H22" s="1815" t="s">
        <v>1850</v>
      </c>
      <c r="I22" s="1805" t="s">
        <v>668</v>
      </c>
      <c r="J22" s="54">
        <f ca="1">ROUND(M22*M23/10000,0)</f>
        <v>0</v>
      </c>
      <c r="K22" s="812" t="s">
        <v>669</v>
      </c>
      <c r="L22" s="782" t="s">
        <v>670</v>
      </c>
      <c r="M22" s="638">
        <f>'数据-取费表'!B52</f>
        <v>6.4</v>
      </c>
      <c r="N22" s="2046"/>
      <c r="O22" s="2046"/>
      <c r="P22" s="2046"/>
      <c r="Q22" s="2046"/>
      <c r="R22" s="2046"/>
      <c r="S22" s="2046"/>
      <c r="T22" s="2046"/>
      <c r="U22" s="2046"/>
      <c r="V22" s="2046"/>
      <c r="W22" s="2046"/>
      <c r="X22" s="2046"/>
      <c r="Y22" s="2046"/>
    </row>
    <row r="23" spans="1:25" s="2047" customFormat="1" ht="18" customHeight="1">
      <c r="A23" s="801" t="s">
        <v>1878</v>
      </c>
      <c r="B23" s="782" t="s">
        <v>671</v>
      </c>
      <c r="C23" s="53" t="s">
        <v>1</v>
      </c>
      <c r="D23" s="810" t="s">
        <v>672</v>
      </c>
      <c r="E23" s="782" t="s">
        <v>673</v>
      </c>
      <c r="F23" s="807">
        <f>'数据-取费表'!B38</f>
        <v>0.02</v>
      </c>
      <c r="G23" s="1577"/>
      <c r="H23" s="1816"/>
      <c r="I23" s="1807"/>
      <c r="J23" s="69"/>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1879</v>
      </c>
      <c r="B24" s="782" t="s">
        <v>675</v>
      </c>
      <c r="C24" s="53"/>
      <c r="D24" s="2534" t="str">
        <f>IF(F25&lt;=1,"单利计息。","复利计息。")&amp;"建造成本、管理费用、销售费用产生的利息。"</f>
        <v>复利计息。建造成本、管理费用、销售费用产生的利息。</v>
      </c>
      <c r="E24" s="1965"/>
      <c r="F24" s="56"/>
      <c r="G24" s="1576"/>
      <c r="H24" s="1814" t="s">
        <v>2069</v>
      </c>
      <c r="I24" s="782" t="s">
        <v>676</v>
      </c>
      <c r="J24" s="53">
        <f ca="1">ROUND(J16*M24,0)</f>
        <v>0</v>
      </c>
      <c r="K24" s="1960" t="s">
        <v>677</v>
      </c>
      <c r="L24" s="782" t="s">
        <v>649</v>
      </c>
      <c r="M24" s="815">
        <f ca="1">INDIRECT("'数据-取费表'!Ak"&amp;$G$1)</f>
        <v>0</v>
      </c>
    </row>
    <row r="25" spans="1:25" s="2047" customFormat="1" ht="18" customHeight="1">
      <c r="A25" s="801" t="s">
        <v>1875</v>
      </c>
      <c r="B25" s="782" t="s">
        <v>2435</v>
      </c>
      <c r="C25" s="53">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3.5</v>
      </c>
      <c r="G25" s="1577"/>
      <c r="H25" s="801" t="s">
        <v>1878</v>
      </c>
      <c r="I25" s="782" t="s">
        <v>679</v>
      </c>
      <c r="J25" s="53">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1849</v>
      </c>
      <c r="B26" s="782" t="s">
        <v>681</v>
      </c>
      <c r="C26" s="53">
        <f ca="1">ROUND(IF('数据-取费表'!B22&lt;=1,F23*F26*F25/2,F23*(POWER((1+F26),F25/2)-1)),4)</f>
        <v>1.6999999999999999E-3</v>
      </c>
      <c r="D26" s="2533" t="str">
        <f>IF(F25&lt;=1,"销售费用×利率×(建设周期÷2)","销售费用×((1+利率)^(建设周期÷2)-1)")</f>
        <v>销售费用×((1+利率)^(建设周期÷2)-1)</v>
      </c>
      <c r="E26" s="782" t="s">
        <v>682</v>
      </c>
      <c r="F26" s="817">
        <f ca="1">'数据-取费表'!B40</f>
        <v>4.7500000000000001E-2</v>
      </c>
      <c r="G26" s="1577"/>
      <c r="H26" s="801" t="s">
        <v>1879</v>
      </c>
      <c r="I26" s="782" t="s">
        <v>666</v>
      </c>
      <c r="J26" s="53">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1881</v>
      </c>
      <c r="B27" s="782" t="s">
        <v>684</v>
      </c>
      <c r="C27" s="53"/>
      <c r="D27" s="259" t="s">
        <v>685</v>
      </c>
      <c r="E27" s="1965"/>
      <c r="F27" s="56"/>
      <c r="G27" s="1576"/>
      <c r="H27" s="795" t="s">
        <v>1828</v>
      </c>
      <c r="I27" s="2961" t="s">
        <v>2820</v>
      </c>
      <c r="J27" s="797">
        <f ca="1">J7-J18</f>
        <v>0</v>
      </c>
      <c r="K27" s="1962" t="s">
        <v>700</v>
      </c>
      <c r="L27" s="1964"/>
      <c r="M27" s="818"/>
    </row>
    <row r="28" spans="1:25" ht="18" customHeight="1">
      <c r="A28" s="801" t="s">
        <v>1875</v>
      </c>
      <c r="B28" s="782" t="s">
        <v>2436</v>
      </c>
      <c r="C28" s="53">
        <f ca="1">ROUND((C21+C22)*F28,0)</f>
        <v>0</v>
      </c>
      <c r="D28" s="810" t="s">
        <v>701</v>
      </c>
      <c r="E28" s="793" t="s">
        <v>702</v>
      </c>
      <c r="F28" s="792">
        <f ca="1">INDIRECT("'数据-取费表'!q"&amp;$G$1)</f>
        <v>0</v>
      </c>
      <c r="G28" s="1576"/>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1882</v>
      </c>
      <c r="B30" s="782" t="s">
        <v>687</v>
      </c>
      <c r="C30" s="53">
        <f>ROUND(F30/(1+'数据-取费表'!C42),4)</f>
        <v>5.33E-2</v>
      </c>
      <c r="D30" s="810" t="s">
        <v>709</v>
      </c>
      <c r="E30" s="782" t="s">
        <v>649</v>
      </c>
      <c r="F30" s="807">
        <f>'数据-取费表'!B41</f>
        <v>5.6000000000000001E-2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2821</v>
      </c>
      <c r="C31" s="2506">
        <f ca="1">ROUND((C21+C22+C25+C28)/(1-F23-C26-C29-C30),0)</f>
        <v>0</v>
      </c>
      <c r="D31" s="2507"/>
      <c r="E31" s="2508"/>
      <c r="F31" s="2509"/>
      <c r="G31" s="1577"/>
      <c r="H31" s="821" t="s">
        <v>1872</v>
      </c>
      <c r="I31" s="2962" t="s">
        <v>2822</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1876</v>
      </c>
      <c r="B33" s="782" t="s">
        <v>656</v>
      </c>
      <c r="C33" s="53">
        <f ca="1">ROUND(IF(项目基本情况!B11="自然人",C7*F33,C34+C35+C36),1)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1875</v>
      </c>
      <c r="B34" s="782" t="s">
        <v>660</v>
      </c>
      <c r="C34" s="53">
        <f ca="1">ROUND(C7*F34/1.05,1)</f>
        <v>0</v>
      </c>
      <c r="D34" s="1960" t="s">
        <v>661</v>
      </c>
      <c r="E34" s="782" t="s">
        <v>649</v>
      </c>
      <c r="F34" s="807">
        <f>'数据-取费表'!B41</f>
        <v>5.6000000000000001E-2</v>
      </c>
      <c r="G34" s="2045"/>
      <c r="H34" s="2054"/>
      <c r="I34" s="2055"/>
      <c r="J34" s="2056"/>
      <c r="K34" s="2057"/>
      <c r="L34" s="2058"/>
      <c r="M34" s="2059"/>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5"/>
      <c r="H35" s="2060"/>
      <c r="I35" s="2060"/>
      <c r="J35" s="2060"/>
      <c r="K35" s="2061"/>
      <c r="L35" s="2060"/>
      <c r="M35" s="2060"/>
    </row>
    <row r="36" spans="1:18" ht="18" customHeight="1">
      <c r="A36" s="811" t="s">
        <v>1880</v>
      </c>
      <c r="B36" s="339" t="s">
        <v>668</v>
      </c>
      <c r="C36" s="54">
        <f ca="1">ROUND(F36*F37/10000,1)</f>
        <v>0</v>
      </c>
      <c r="D36" s="812" t="s">
        <v>669</v>
      </c>
      <c r="E36" s="782" t="s">
        <v>670</v>
      </c>
      <c r="F36" s="638">
        <f>'数据-取费表'!B52</f>
        <v>6.4</v>
      </c>
      <c r="G36" s="2045"/>
      <c r="H36" s="2048"/>
      <c r="I36" s="3463"/>
      <c r="J36" s="2062"/>
      <c r="K36" s="2063"/>
      <c r="L36" s="2062"/>
      <c r="M36" s="2062"/>
    </row>
    <row r="37" spans="1:18" ht="18" customHeight="1">
      <c r="A37" s="813"/>
      <c r="B37" s="791"/>
      <c r="C37" s="69"/>
      <c r="D37" s="814"/>
      <c r="E37" s="782" t="s">
        <v>674</v>
      </c>
      <c r="F37" s="783">
        <f ca="1">INDIRECT("'数据-取费表'!r"&amp;$G$1)</f>
        <v>0</v>
      </c>
      <c r="G37" s="2045"/>
      <c r="H37" s="2048"/>
      <c r="I37" s="3463"/>
      <c r="J37" s="2060"/>
      <c r="K37" s="2061"/>
      <c r="L37" s="2060"/>
      <c r="M37" s="2060"/>
    </row>
    <row r="38" spans="1:18" ht="18" customHeight="1">
      <c r="A38" s="801" t="s">
        <v>1877</v>
      </c>
      <c r="B38" s="782" t="s">
        <v>676</v>
      </c>
      <c r="C38" s="53">
        <f ca="1">ROUND(C31*F38,1)</f>
        <v>0</v>
      </c>
      <c r="D38" s="1960" t="s">
        <v>691</v>
      </c>
      <c r="E38" s="782" t="s">
        <v>649</v>
      </c>
      <c r="F38" s="815">
        <f ca="1">INDIRECT("'数据-取费表'!Ak"&amp;$G$1)</f>
        <v>0</v>
      </c>
      <c r="G38" s="2045"/>
      <c r="H38" s="2060"/>
      <c r="I38" s="2064"/>
      <c r="J38" s="1971"/>
      <c r="K38" s="2065"/>
      <c r="L38" s="2060"/>
      <c r="M38" s="2060"/>
    </row>
    <row r="39" spans="1:18" ht="18" customHeight="1">
      <c r="A39" s="801" t="s">
        <v>1878</v>
      </c>
      <c r="B39" s="782" t="s">
        <v>679</v>
      </c>
      <c r="C39" s="53">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1" t="s">
        <v>1876</v>
      </c>
      <c r="B42" s="833" t="s">
        <v>693</v>
      </c>
      <c r="C42" s="827">
        <f ca="1">C7-C32</f>
        <v>0</v>
      </c>
      <c r="D42" s="1962" t="s">
        <v>694</v>
      </c>
      <c r="E42" s="1964"/>
      <c r="F42" s="818"/>
      <c r="G42" s="2045"/>
      <c r="H42" s="2045"/>
      <c r="I42" s="2045"/>
      <c r="J42" s="2045"/>
      <c r="K42" s="2066"/>
      <c r="L42" s="2045"/>
      <c r="M42" s="2045"/>
    </row>
    <row r="43" spans="1:18" ht="18" customHeight="1">
      <c r="A43" s="801" t="s">
        <v>1877</v>
      </c>
      <c r="B43" s="833" t="s">
        <v>711</v>
      </c>
      <c r="C43" s="834">
        <f ca="1">ROUND(C15*F43,0)</f>
        <v>0</v>
      </c>
      <c r="D43" s="1349" t="s">
        <v>712</v>
      </c>
      <c r="E43" s="3072" t="s">
        <v>2959</v>
      </c>
      <c r="F43" s="3073">
        <f ca="1">INDIRECT("'数据-取费表'!j"&amp;$G$1)</f>
        <v>0</v>
      </c>
      <c r="G43" s="2045"/>
      <c r="H43" s="2045"/>
      <c r="I43" s="2045"/>
      <c r="J43" s="2045"/>
      <c r="K43" s="2066"/>
      <c r="L43" s="2045"/>
      <c r="M43" s="2045"/>
    </row>
    <row r="44" spans="1:18" ht="18" customHeight="1">
      <c r="A44" s="801" t="s">
        <v>1878</v>
      </c>
      <c r="B44" s="833" t="s">
        <v>713</v>
      </c>
      <c r="C44" s="1350">
        <f ca="1">C42-C43</f>
        <v>0</v>
      </c>
      <c r="D44" s="461" t="s">
        <v>714</v>
      </c>
      <c r="E44" s="462"/>
      <c r="F44" s="463"/>
      <c r="G44" s="2045"/>
      <c r="H44" s="2045"/>
      <c r="I44" s="2045"/>
      <c r="J44" s="2045"/>
      <c r="K44" s="2066"/>
      <c r="L44" s="2045"/>
      <c r="M44" s="2045"/>
    </row>
    <row r="45" spans="1:18" ht="18" customHeight="1">
      <c r="A45" s="801" t="s">
        <v>1879</v>
      </c>
      <c r="B45" s="1349" t="s">
        <v>715</v>
      </c>
      <c r="C45" s="2988">
        <f ca="1">ROUND(-PV(F45,F46,C44,0),0)</f>
        <v>0</v>
      </c>
      <c r="D45" s="1351" t="s">
        <v>716</v>
      </c>
      <c r="E45" s="804" t="s">
        <v>717</v>
      </c>
      <c r="F45" s="828">
        <f ca="1">INDIRECT("'数据-取费表'!h"&amp;$G$1)</f>
        <v>0</v>
      </c>
      <c r="G45" s="2045"/>
      <c r="H45" s="2045"/>
      <c r="I45" s="2045"/>
      <c r="J45" s="2045"/>
      <c r="K45" s="2066"/>
      <c r="L45" s="2045"/>
      <c r="M45" s="2045"/>
    </row>
    <row r="46" spans="1:18" ht="18" customHeight="1" thickBot="1">
      <c r="A46" s="829"/>
      <c r="B46" s="1352"/>
      <c r="C46" s="1353"/>
      <c r="D46" s="1354"/>
      <c r="E46" s="3074" t="s">
        <v>2962</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7" t="str">
        <f ca="1">IF(M48="住宅",0,IF(L49&gt;J52,L61,J61))</f>
        <v>0</v>
      </c>
      <c r="O47" s="2356" t="s">
        <v>2408</v>
      </c>
      <c r="P47" s="1576"/>
      <c r="Q47" s="1587"/>
      <c r="R47" s="1576"/>
    </row>
    <row r="48" spans="1:18" s="2042" customFormat="1" ht="18" customHeight="1" thickBot="1">
      <c r="A48" s="2067"/>
      <c r="C48" s="2070"/>
      <c r="D48" s="2071"/>
      <c r="E48" s="2071"/>
      <c r="F48" s="2072"/>
      <c r="G48" s="2073"/>
      <c r="I48" s="3097" t="s">
        <v>2342</v>
      </c>
      <c r="J48" s="2343"/>
      <c r="K48" s="3104" t="s">
        <v>2347</v>
      </c>
      <c r="L48" s="3108">
        <f ca="1">INDIRECT("'数据-取费表'!d"&amp;$G$1)</f>
        <v>0</v>
      </c>
      <c r="M48" s="3071"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6" t="s">
        <v>2343</v>
      </c>
      <c r="J49" s="2344"/>
      <c r="K49" s="3105"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6" t="s">
        <v>2344</v>
      </c>
      <c r="J50" s="2345"/>
      <c r="K50" s="3106"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6" t="s">
        <v>2345</v>
      </c>
      <c r="J51" s="3101">
        <f>SUMPRODUCT((I64:I66=J48)*(J63:L63=J49)*(J64:L66))</f>
        <v>0</v>
      </c>
      <c r="K51" s="3106" t="s">
        <v>2351</v>
      </c>
      <c r="L51" s="2346"/>
      <c r="O51" s="2363" t="s">
        <v>2381</v>
      </c>
      <c r="P51" s="2361" t="s">
        <v>2405</v>
      </c>
      <c r="Q51" s="2362">
        <f ca="1">C31</f>
        <v>0</v>
      </c>
      <c r="R51" s="2361" t="s">
        <v>2378</v>
      </c>
    </row>
    <row r="52" spans="1:18" s="2042" customFormat="1" ht="18" customHeight="1" thickBot="1">
      <c r="A52" s="2079"/>
      <c r="F52" s="2068"/>
      <c r="I52" s="3098" t="s">
        <v>2346</v>
      </c>
      <c r="J52" s="3102">
        <f>IF(J50="",J51,J50+J51-YEAR('数据-取费表'!B3))</f>
        <v>0</v>
      </c>
      <c r="K52" s="3076" t="s">
        <v>2352</v>
      </c>
      <c r="L52" s="3109">
        <f ca="1">ROUND(-PV(INDIRECT("'数据-取费表'!h"&amp;$G$1),L49,(C40-C14*J36),0),0)</f>
        <v>0</v>
      </c>
      <c r="O52" s="2363" t="s">
        <v>2382</v>
      </c>
      <c r="P52" s="2361" t="s">
        <v>2383</v>
      </c>
      <c r="Q52" s="2364" t="e">
        <f ca="1">J59</f>
        <v>#VALUE!</v>
      </c>
      <c r="R52" s="2365"/>
    </row>
    <row r="53" spans="1:18" s="2042" customFormat="1" ht="18" customHeight="1" thickBot="1">
      <c r="A53" s="2079"/>
      <c r="F53" s="2068"/>
      <c r="I53" s="3099" t="s">
        <v>2419</v>
      </c>
      <c r="J53" s="2347"/>
      <c r="K53" s="3099" t="s">
        <v>2418</v>
      </c>
      <c r="L53" s="2347"/>
      <c r="O53" s="2363" t="s">
        <v>2384</v>
      </c>
      <c r="P53" s="2361" t="s">
        <v>2385</v>
      </c>
      <c r="Q53" s="2364">
        <f>J53</f>
        <v>0</v>
      </c>
      <c r="R53" s="2365"/>
    </row>
    <row r="54" spans="1:18" s="2042" customFormat="1" ht="29.25" thickBot="1">
      <c r="A54" s="2079"/>
      <c r="I54" s="3100" t="s">
        <v>2975</v>
      </c>
      <c r="J54" s="3103">
        <f ca="1">IF(M48="住宅",MAX(J52,L49-'数据-取费表'!B20),MIN(J52,L49-'数据-取费表'!B20))</f>
        <v>-3.5</v>
      </c>
      <c r="K54" s="3468"/>
      <c r="L54" s="3469"/>
      <c r="O54" s="2363" t="s">
        <v>2386</v>
      </c>
      <c r="P54" s="2361" t="s">
        <v>2387</v>
      </c>
      <c r="Q54" s="2362">
        <f ca="1">J54</f>
        <v>-3.5</v>
      </c>
      <c r="R54" s="2361" t="s">
        <v>2388</v>
      </c>
    </row>
    <row r="55" spans="1:18" s="2042" customFormat="1" ht="18" customHeight="1" thickBot="1">
      <c r="A55" s="2079"/>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2389</v>
      </c>
      <c r="P55" s="2361" t="s">
        <v>2406</v>
      </c>
      <c r="Q55" s="2362">
        <f ca="1">Q49+Q50</f>
        <v>0</v>
      </c>
      <c r="R55" s="2365" t="s">
        <v>2390</v>
      </c>
    </row>
    <row r="56" spans="1:18" s="2042" customFormat="1" ht="16.5" thickBot="1">
      <c r="A56" s="2079"/>
      <c r="B56" s="2080"/>
      <c r="C56" s="2080"/>
      <c r="I56" s="3112" t="s">
        <v>2353</v>
      </c>
      <c r="J56" s="3051" t="e">
        <f ca="1">ROUND(IF(J48="钢混",J58/J51,1-(1-2%)*(J51-J58)/J51),3)</f>
        <v>#VALUE!</v>
      </c>
      <c r="K56" s="3113" t="s">
        <v>2354</v>
      </c>
      <c r="L56" s="2348"/>
      <c r="O56" s="2366" t="s">
        <v>2409</v>
      </c>
      <c r="P56" s="1576"/>
      <c r="Q56" s="1587"/>
      <c r="R56" s="1576"/>
    </row>
    <row r="57" spans="1:18" s="2042" customFormat="1" ht="43.5" thickBot="1">
      <c r="A57" s="2079"/>
      <c r="B57" s="2080"/>
      <c r="C57" s="2080"/>
      <c r="I57" s="3114" t="s">
        <v>2355</v>
      </c>
      <c r="J57" s="3124" t="s">
        <v>1678</v>
      </c>
      <c r="K57" s="3076" t="s">
        <v>2360</v>
      </c>
      <c r="L57" s="1891">
        <f ca="1">IF(L49&lt;J52,"——",L49-J52)</f>
        <v>0</v>
      </c>
      <c r="O57" s="2357" t="s">
        <v>2373</v>
      </c>
      <c r="P57" s="2358" t="s">
        <v>2374</v>
      </c>
      <c r="Q57" s="2359" t="s">
        <v>2375</v>
      </c>
      <c r="R57" s="2358" t="s">
        <v>2376</v>
      </c>
    </row>
    <row r="58" spans="1:18" s="2042" customFormat="1" ht="29.25" thickBot="1">
      <c r="A58" s="2079"/>
      <c r="B58" s="2080"/>
      <c r="C58" s="2080"/>
      <c r="I58" s="3115" t="s">
        <v>2356</v>
      </c>
      <c r="J58" s="3116" t="str">
        <f ca="1">IF(OR(M48="住宅",J52&lt;L49,J57="是"),"——",J52-L49)</f>
        <v>——</v>
      </c>
      <c r="K58" s="3076"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5" t="s">
        <v>2357</v>
      </c>
      <c r="J59" s="3052" t="e">
        <f ca="1">IF(J56&lt;0.4,0.4,J56)</f>
        <v>#VALUE!</v>
      </c>
      <c r="K59" s="3076"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5" t="s">
        <v>2358</v>
      </c>
      <c r="J60" s="3116" t="str">
        <f ca="1">IF(OR(M48="住宅",J52&lt;L49,J57="是"),"——",ROUND(C30*J59,0))</f>
        <v>——</v>
      </c>
      <c r="K60" s="3076"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7" t="s">
        <v>2359</v>
      </c>
      <c r="J61" s="3118" t="str">
        <f ca="1">IF(OR(M48="住宅",J52&lt;L49,J57="是"),"0",ROUND(J60/(1+J53)^J54,0))</f>
        <v>0</v>
      </c>
      <c r="K61" s="3119" t="s">
        <v>2364</v>
      </c>
      <c r="L61" s="3118"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20" t="s">
        <v>2365</v>
      </c>
      <c r="J63" s="3121" t="s">
        <v>2366</v>
      </c>
      <c r="K63" s="3121" t="s">
        <v>2367</v>
      </c>
      <c r="L63" s="3121" t="s">
        <v>2348</v>
      </c>
      <c r="M63" s="3122" t="s">
        <v>2940</v>
      </c>
      <c r="O63" s="2363" t="s">
        <v>2386</v>
      </c>
      <c r="P63" s="2361" t="s">
        <v>2394</v>
      </c>
      <c r="Q63" s="2362">
        <f ca="1">L60</f>
        <v>0</v>
      </c>
      <c r="R63" s="2365" t="s">
        <v>2395</v>
      </c>
    </row>
    <row r="64" spans="1:18" s="2042" customFormat="1" ht="15.75" thickBot="1">
      <c r="A64" s="2079"/>
      <c r="B64" s="2080"/>
      <c r="C64" s="2080"/>
      <c r="I64" s="3120" t="s">
        <v>2368</v>
      </c>
      <c r="J64" s="3121">
        <v>70</v>
      </c>
      <c r="K64" s="3121">
        <v>50</v>
      </c>
      <c r="L64" s="3121">
        <v>80</v>
      </c>
      <c r="M64" s="3123">
        <v>0.02</v>
      </c>
      <c r="O64" s="2360" t="s">
        <v>2389</v>
      </c>
      <c r="P64" s="2361" t="s">
        <v>2406</v>
      </c>
      <c r="Q64" s="2362" t="e">
        <f ca="1">Q58+Q59</f>
        <v>#DIV/0!</v>
      </c>
      <c r="R64" s="2365" t="s">
        <v>2390</v>
      </c>
    </row>
    <row r="65" spans="1:18" s="2042" customFormat="1" ht="16.5" thickBot="1">
      <c r="A65" s="2079"/>
      <c r="B65" s="2080"/>
      <c r="C65" s="2080"/>
      <c r="I65" s="3120" t="s">
        <v>2369</v>
      </c>
      <c r="J65" s="3121">
        <v>50</v>
      </c>
      <c r="K65" s="3121">
        <v>35</v>
      </c>
      <c r="L65" s="3121">
        <v>60</v>
      </c>
      <c r="M65" s="844">
        <v>0</v>
      </c>
      <c r="O65" s="2366" t="s">
        <v>2413</v>
      </c>
      <c r="P65" s="1576"/>
      <c r="Q65" s="1587"/>
      <c r="R65" s="1576"/>
    </row>
    <row r="66" spans="1:18" s="2042" customFormat="1" ht="15.75" thickBot="1">
      <c r="A66" s="2079"/>
      <c r="B66" s="2080"/>
      <c r="C66" s="2080"/>
      <c r="I66" s="3120" t="s">
        <v>2370</v>
      </c>
      <c r="J66" s="3121">
        <v>40</v>
      </c>
      <c r="K66" s="3121">
        <v>30</v>
      </c>
      <c r="L66" s="3121">
        <v>50</v>
      </c>
      <c r="M66" s="3123">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1" sqref="E5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5" t="s">
        <v>719</v>
      </c>
      <c r="C1" s="2586" t="s">
        <v>720</v>
      </c>
      <c r="D1" s="2587" t="s">
        <v>923</v>
      </c>
      <c r="E1" s="2588"/>
      <c r="F1" s="2760" t="s">
        <v>3170</v>
      </c>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1" t="s">
        <v>467</v>
      </c>
      <c r="B2" s="2584">
        <f>ROUND(B3*D3/10000,0)</f>
        <v>229669</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7" t="s">
        <v>519</v>
      </c>
      <c r="B3" s="849">
        <f>C49</f>
        <v>5434</v>
      </c>
      <c r="C3" s="850" t="s">
        <v>722</v>
      </c>
      <c r="D3" s="849">
        <f>SUMIF('数据-汇总表'!$C19:$C33,D1,'数据-汇总表'!$E19:$E33)</f>
        <v>422652.25199999998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521</v>
      </c>
      <c r="B4" s="511"/>
      <c r="C4" s="3381" t="s">
        <v>522</v>
      </c>
      <c r="D4" s="3382"/>
      <c r="E4" s="3417" t="s">
        <v>523</v>
      </c>
      <c r="F4" s="3418"/>
      <c r="G4" s="3381" t="s">
        <v>524</v>
      </c>
      <c r="H4" s="3382"/>
      <c r="I4" s="3381" t="s">
        <v>525</v>
      </c>
      <c r="J4" s="3382"/>
      <c r="K4" s="851" t="s">
        <v>526</v>
      </c>
      <c r="L4" s="2116"/>
      <c r="M4" s="2117"/>
      <c r="N4" s="2117"/>
      <c r="O4" s="2117"/>
      <c r="P4" s="3383" t="s">
        <v>527</v>
      </c>
      <c r="Q4" s="3384"/>
      <c r="R4" s="3389" t="s">
        <v>523</v>
      </c>
      <c r="S4" s="3390"/>
      <c r="T4" s="3389" t="s">
        <v>524</v>
      </c>
      <c r="U4" s="3390"/>
      <c r="V4" s="3376" t="s">
        <v>525</v>
      </c>
      <c r="W4" s="3376"/>
      <c r="X4" s="1551"/>
      <c r="Y4" s="3389" t="s">
        <v>527</v>
      </c>
      <c r="Z4" s="3390"/>
      <c r="AA4" s="3378" t="s">
        <v>523</v>
      </c>
      <c r="AB4" s="3378" t="s">
        <v>524</v>
      </c>
      <c r="AC4" s="3378" t="s">
        <v>525</v>
      </c>
    </row>
    <row r="5" spans="1:29" ht="15">
      <c r="A5" s="513"/>
      <c r="B5" s="514"/>
      <c r="C5" s="3399" t="s">
        <v>2927</v>
      </c>
      <c r="D5" s="3400"/>
      <c r="E5" s="3475" t="s">
        <v>3171</v>
      </c>
      <c r="F5" s="3420"/>
      <c r="G5" s="3473" t="s">
        <v>3172</v>
      </c>
      <c r="H5" s="3400"/>
      <c r="I5" s="3474" t="s">
        <v>3173</v>
      </c>
      <c r="J5" s="3400"/>
      <c r="K5" s="852"/>
      <c r="L5" s="2116"/>
      <c r="M5" s="2117"/>
      <c r="N5" s="2117"/>
      <c r="O5" s="2117"/>
      <c r="P5" s="3385"/>
      <c r="Q5" s="3386"/>
      <c r="R5" s="3391"/>
      <c r="S5" s="3392"/>
      <c r="T5" s="3391"/>
      <c r="U5" s="3392"/>
      <c r="V5" s="3376"/>
      <c r="W5" s="3376"/>
      <c r="X5" s="1551"/>
      <c r="Y5" s="3391"/>
      <c r="Z5" s="3392"/>
      <c r="AA5" s="3379"/>
      <c r="AB5" s="3379"/>
      <c r="AC5" s="3379"/>
    </row>
    <row r="6" spans="1:29" ht="15.75" thickBot="1">
      <c r="A6" s="515"/>
      <c r="B6" s="516"/>
      <c r="C6" s="3395" t="s">
        <v>2931</v>
      </c>
      <c r="D6" s="3396"/>
      <c r="E6" s="3415" t="s">
        <v>2931</v>
      </c>
      <c r="F6" s="3416"/>
      <c r="G6" s="3395" t="s">
        <v>2931</v>
      </c>
      <c r="H6" s="3396"/>
      <c r="I6" s="3395" t="s">
        <v>2931</v>
      </c>
      <c r="J6" s="3396"/>
      <c r="K6" s="852" t="s">
        <v>528</v>
      </c>
      <c r="L6" s="2116"/>
      <c r="M6" s="2117"/>
      <c r="N6" s="2117"/>
      <c r="O6" s="2117"/>
      <c r="P6" s="3387"/>
      <c r="Q6" s="3388"/>
      <c r="R6" s="3391"/>
      <c r="S6" s="3392"/>
      <c r="T6" s="3393"/>
      <c r="U6" s="3394"/>
      <c r="V6" s="3376"/>
      <c r="W6" s="3376"/>
      <c r="X6" s="1551"/>
      <c r="Y6" s="3393"/>
      <c r="Z6" s="3394"/>
      <c r="AA6" s="3380"/>
      <c r="AB6" s="3380"/>
      <c r="AC6" s="3380"/>
    </row>
    <row r="7" spans="1:29" s="1213" customFormat="1" ht="15.75" thickBot="1">
      <c r="A7" s="2865"/>
      <c r="B7" s="2872" t="s">
        <v>529</v>
      </c>
      <c r="C7" s="517">
        <f>'数据-取费表'!B2</f>
        <v>43665</v>
      </c>
      <c r="D7" s="518">
        <v>100</v>
      </c>
      <c r="E7" s="521">
        <v>43657</v>
      </c>
      <c r="F7" s="520">
        <f>SUMIF(58:58,YEAR(E7)&amp;"-"&amp;MONTH(E7),59:59)</f>
        <v>100</v>
      </c>
      <c r="G7" s="521">
        <v>43657</v>
      </c>
      <c r="H7" s="518">
        <f>SUMIF(58:58,YEAR(G7)&amp;"-"&amp;MONTH(G7),59:59)</f>
        <v>100</v>
      </c>
      <c r="I7" s="521">
        <v>43657</v>
      </c>
      <c r="J7" s="518">
        <f>SUMIF(58:58,YEAR(I7)&amp;"-"&amp;MONTH(I7),59:59)</f>
        <v>100</v>
      </c>
      <c r="K7" s="853"/>
      <c r="L7" s="2118"/>
      <c r="M7" s="2119"/>
      <c r="N7" s="2119"/>
      <c r="O7" s="2119"/>
      <c r="P7" s="3408" t="s">
        <v>530</v>
      </c>
      <c r="Q7" s="3410"/>
      <c r="R7" s="1552" t="s">
        <v>13</v>
      </c>
      <c r="S7" s="1553">
        <f t="shared" ref="S7:S15" si="0">F7</f>
        <v>100</v>
      </c>
      <c r="T7" s="1552" t="s">
        <v>13</v>
      </c>
      <c r="U7" s="1553">
        <f t="shared" ref="U7:U15" si="1">H7</f>
        <v>100</v>
      </c>
      <c r="V7" s="1552" t="s">
        <v>13</v>
      </c>
      <c r="W7" s="1553">
        <f t="shared" ref="W7:W15" si="2">J7</f>
        <v>100</v>
      </c>
      <c r="X7" s="1554"/>
      <c r="Y7" s="3408" t="s">
        <v>530</v>
      </c>
      <c r="Z7" s="3409"/>
      <c r="AA7" s="1555">
        <f>D7/F7</f>
        <v>1</v>
      </c>
      <c r="AB7" s="1555">
        <f>D7/H7</f>
        <v>1</v>
      </c>
      <c r="AC7" s="1555">
        <f>D7/J7</f>
        <v>1</v>
      </c>
    </row>
    <row r="8" spans="1:29" s="1213" customFormat="1" ht="15.75" thickBot="1">
      <c r="A8" s="2866"/>
      <c r="B8" s="2873" t="s">
        <v>531</v>
      </c>
      <c r="C8" s="523" t="s">
        <v>576</v>
      </c>
      <c r="D8" s="518">
        <v>100</v>
      </c>
      <c r="E8" s="854" t="s">
        <v>3174</v>
      </c>
      <c r="F8" s="520">
        <f>SUMIF(61:61,E8,62:62)-SUMIF(61:61,C8,62:62)+100</f>
        <v>100</v>
      </c>
      <c r="G8" s="523" t="s">
        <v>3174</v>
      </c>
      <c r="H8" s="518">
        <f>SUMIF(61:61,G8,62:62)-SUMIF(61:61,C8,62:62)+100</f>
        <v>100</v>
      </c>
      <c r="I8" s="854" t="s">
        <v>3174</v>
      </c>
      <c r="J8" s="518">
        <f>SUMIF(61:61,I8,62:62)-SUMIF(61:61,C8,62:62)+100</f>
        <v>100</v>
      </c>
      <c r="K8" s="853"/>
      <c r="L8" s="2118"/>
      <c r="M8" s="2119"/>
      <c r="N8" s="2119"/>
      <c r="O8" s="2119"/>
      <c r="P8" s="3408" t="s">
        <v>533</v>
      </c>
      <c r="Q8" s="3409"/>
      <c r="R8" s="1552" t="s">
        <v>13</v>
      </c>
      <c r="S8" s="1553">
        <f t="shared" si="0"/>
        <v>100</v>
      </c>
      <c r="T8" s="1552" t="s">
        <v>13</v>
      </c>
      <c r="U8" s="1553">
        <f t="shared" si="1"/>
        <v>100</v>
      </c>
      <c r="V8" s="1552" t="s">
        <v>13</v>
      </c>
      <c r="W8" s="1553">
        <f t="shared" si="2"/>
        <v>100</v>
      </c>
      <c r="X8" s="1554"/>
      <c r="Y8" s="3408" t="s">
        <v>533</v>
      </c>
      <c r="Z8" s="3409"/>
      <c r="AA8" s="1555">
        <f t="shared" ref="AA8:AA46" si="3">D8/F8</f>
        <v>1</v>
      </c>
      <c r="AB8" s="1555">
        <f t="shared" ref="AB8:AB46" si="4">D8/H8</f>
        <v>1</v>
      </c>
      <c r="AC8" s="1555">
        <f t="shared" ref="AC8:AC46" si="5">D8/J8</f>
        <v>1</v>
      </c>
    </row>
    <row r="9" spans="1:29" s="1213" customFormat="1" ht="15">
      <c r="A9" s="2867"/>
      <c r="B9" s="2874" t="s">
        <v>2754</v>
      </c>
      <c r="C9" s="3194" t="s">
        <v>3175</v>
      </c>
      <c r="D9" s="252">
        <v>100</v>
      </c>
      <c r="E9" s="856" t="s">
        <v>923</v>
      </c>
      <c r="F9" s="857">
        <f>SUMIF(63:63,E9,64:64)-SUMIF(63:63,C9,64:64)+100</f>
        <v>100</v>
      </c>
      <c r="G9" s="856" t="s">
        <v>923</v>
      </c>
      <c r="H9" s="252">
        <f>SUMIF(63:63,G9,64:64)-SUMIF(63:63,C9,64:64)+100</f>
        <v>100</v>
      </c>
      <c r="I9" s="856" t="s">
        <v>923</v>
      </c>
      <c r="J9" s="252">
        <f>SUMIF(63:63,I9,64:64)-SUMIF(63:63,C9,64:64)+100</f>
        <v>100</v>
      </c>
      <c r="K9" s="853"/>
      <c r="L9" s="2118"/>
      <c r="M9" s="2119"/>
      <c r="N9" s="2119"/>
      <c r="O9" s="2120"/>
      <c r="P9" s="3375" t="s">
        <v>535</v>
      </c>
      <c r="Q9" s="1144" t="str">
        <f t="shared" ref="Q9:Q15" si="6">B9</f>
        <v>用途</v>
      </c>
      <c r="R9" s="1552" t="s">
        <v>8</v>
      </c>
      <c r="S9" s="1553">
        <f t="shared" si="0"/>
        <v>100</v>
      </c>
      <c r="T9" s="1552" t="s">
        <v>8</v>
      </c>
      <c r="U9" s="1553">
        <f t="shared" si="1"/>
        <v>100</v>
      </c>
      <c r="V9" s="1552" t="s">
        <v>8</v>
      </c>
      <c r="W9" s="1553">
        <f t="shared" si="2"/>
        <v>100</v>
      </c>
      <c r="X9" s="1554"/>
      <c r="Y9" s="3321" t="s">
        <v>536</v>
      </c>
      <c r="Z9" s="1143" t="str">
        <f t="shared" ref="Z9:Z15" si="7">Q9</f>
        <v>用途</v>
      </c>
      <c r="AA9" s="1555">
        <f t="shared" si="3"/>
        <v>1</v>
      </c>
      <c r="AB9" s="1555">
        <f t="shared" si="4"/>
        <v>1</v>
      </c>
      <c r="AC9" s="1555">
        <f t="shared" si="5"/>
        <v>1</v>
      </c>
    </row>
    <row r="10" spans="1:29" s="1331" customFormat="1" ht="27">
      <c r="A10" s="2868"/>
      <c r="B10" s="2873" t="s">
        <v>2755</v>
      </c>
      <c r="C10" s="859" t="s">
        <v>3176</v>
      </c>
      <c r="D10" s="253">
        <v>100</v>
      </c>
      <c r="E10" s="860" t="s">
        <v>3177</v>
      </c>
      <c r="F10" s="861">
        <f>SUMIF(65:65,E10,66:66)-SUMIF(65:65,C10,66:66)+100</f>
        <v>103</v>
      </c>
      <c r="G10" s="859" t="s">
        <v>3177</v>
      </c>
      <c r="H10" s="253">
        <f>SUMIF(65:65,G10,66:66)-SUMIF(65:65,C10,66:66)+100</f>
        <v>103</v>
      </c>
      <c r="I10" s="859" t="s">
        <v>3177</v>
      </c>
      <c r="J10" s="253">
        <f>SUMIF(65:65,I10,66:66)-SUMIF(65:65,C10,66:66)+100</f>
        <v>103</v>
      </c>
      <c r="K10" s="862">
        <v>1</v>
      </c>
      <c r="L10" s="2121"/>
      <c r="M10" s="2161"/>
      <c r="N10" s="2161"/>
      <c r="O10" s="2122"/>
      <c r="P10" s="3375"/>
      <c r="Q10" s="1144" t="str">
        <f t="shared" si="6"/>
        <v>土地使用年限（年）</v>
      </c>
      <c r="R10" s="1552" t="s">
        <v>8</v>
      </c>
      <c r="S10" s="1553">
        <f t="shared" si="0"/>
        <v>103</v>
      </c>
      <c r="T10" s="1552" t="s">
        <v>8</v>
      </c>
      <c r="U10" s="1553">
        <f t="shared" si="1"/>
        <v>103</v>
      </c>
      <c r="V10" s="1552" t="s">
        <v>8</v>
      </c>
      <c r="W10" s="1553">
        <f t="shared" si="2"/>
        <v>103</v>
      </c>
      <c r="X10" s="1554"/>
      <c r="Y10" s="3321"/>
      <c r="Z10" s="1143" t="str">
        <f t="shared" si="7"/>
        <v>土地使用年限（年）</v>
      </c>
      <c r="AA10" s="1555">
        <f t="shared" si="3"/>
        <v>0.970873786407767</v>
      </c>
      <c r="AB10" s="1555">
        <f t="shared" si="4"/>
        <v>0.970873786407767</v>
      </c>
      <c r="AC10" s="1555">
        <f t="shared" si="5"/>
        <v>0.970873786407767</v>
      </c>
    </row>
    <row r="11" spans="1:29" ht="15.75" thickBot="1">
      <c r="A11" s="2869"/>
      <c r="B11" s="2873" t="s">
        <v>2756</v>
      </c>
      <c r="C11" s="531">
        <v>2.2000000000000002</v>
      </c>
      <c r="D11" s="253">
        <v>100</v>
      </c>
      <c r="E11" s="532">
        <v>1.9</v>
      </c>
      <c r="F11" s="861">
        <f>LOOKUP(E11,68:68,69:69)-LOOKUP(C11,68:68,69:69)+100</f>
        <v>102</v>
      </c>
      <c r="G11" s="531">
        <v>2.2000000000000002</v>
      </c>
      <c r="H11" s="253">
        <f>LOOKUP(G11,68:68,69:69)-LOOKUP(C11,68:68,69:69)+100</f>
        <v>100</v>
      </c>
      <c r="I11" s="531">
        <v>1.9</v>
      </c>
      <c r="J11" s="253">
        <f>LOOKUP(I11,68:68,69:69)-LOOKUP(C11,68:68,69:69)+100</f>
        <v>102</v>
      </c>
      <c r="K11" s="862">
        <v>2</v>
      </c>
      <c r="L11" s="2123"/>
      <c r="M11" s="2117"/>
      <c r="N11" s="2117"/>
      <c r="O11" s="2124"/>
      <c r="P11" s="3375"/>
      <c r="Q11" s="1144" t="str">
        <f t="shared" si="6"/>
        <v>容积率</v>
      </c>
      <c r="R11" s="1552" t="s">
        <v>11</v>
      </c>
      <c r="S11" s="1553">
        <f t="shared" si="0"/>
        <v>102</v>
      </c>
      <c r="T11" s="1552" t="s">
        <v>11</v>
      </c>
      <c r="U11" s="1553">
        <f t="shared" si="1"/>
        <v>100</v>
      </c>
      <c r="V11" s="1552" t="s">
        <v>11</v>
      </c>
      <c r="W11" s="1553">
        <f t="shared" si="2"/>
        <v>102</v>
      </c>
      <c r="X11" s="1554"/>
      <c r="Y11" s="3321"/>
      <c r="Z11" s="1143" t="str">
        <f t="shared" si="7"/>
        <v>容积率</v>
      </c>
      <c r="AA11" s="1555">
        <f t="shared" si="3"/>
        <v>0.98039215686274506</v>
      </c>
      <c r="AB11" s="1555">
        <f t="shared" si="4"/>
        <v>1</v>
      </c>
      <c r="AC11" s="1555">
        <f t="shared" si="5"/>
        <v>0.98039215686274506</v>
      </c>
    </row>
    <row r="12" spans="1:29" s="1213"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375"/>
      <c r="Q12" s="1144">
        <f t="shared" si="6"/>
        <v>111</v>
      </c>
      <c r="R12" s="1552" t="s">
        <v>11</v>
      </c>
      <c r="S12" s="1553">
        <f t="shared" si="0"/>
        <v>100</v>
      </c>
      <c r="T12" s="1552" t="s">
        <v>11</v>
      </c>
      <c r="U12" s="1553">
        <f t="shared" si="1"/>
        <v>100</v>
      </c>
      <c r="V12" s="1552" t="s">
        <v>11</v>
      </c>
      <c r="W12" s="1553">
        <f t="shared" si="2"/>
        <v>100</v>
      </c>
      <c r="X12" s="1554"/>
      <c r="Y12" s="3321"/>
      <c r="Z12" s="1143">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375"/>
      <c r="Q13" s="1144">
        <f t="shared" si="6"/>
        <v>111</v>
      </c>
      <c r="R13" s="1552" t="s">
        <v>11</v>
      </c>
      <c r="S13" s="1553">
        <f t="shared" si="0"/>
        <v>100</v>
      </c>
      <c r="T13" s="1552" t="s">
        <v>11</v>
      </c>
      <c r="U13" s="1553">
        <f t="shared" si="1"/>
        <v>100</v>
      </c>
      <c r="V13" s="1552" t="s">
        <v>11</v>
      </c>
      <c r="W13" s="1553">
        <f t="shared" si="2"/>
        <v>100</v>
      </c>
      <c r="X13" s="1554"/>
      <c r="Y13" s="3321"/>
      <c r="Z13" s="1143">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375"/>
      <c r="Q14" s="1144">
        <f t="shared" si="6"/>
        <v>111</v>
      </c>
      <c r="R14" s="1552" t="s">
        <v>11</v>
      </c>
      <c r="S14" s="1553">
        <f t="shared" si="0"/>
        <v>100</v>
      </c>
      <c r="T14" s="1552" t="s">
        <v>11</v>
      </c>
      <c r="U14" s="1553">
        <f t="shared" si="1"/>
        <v>100</v>
      </c>
      <c r="V14" s="1552" t="s">
        <v>11</v>
      </c>
      <c r="W14" s="1553">
        <f t="shared" si="2"/>
        <v>100</v>
      </c>
      <c r="X14" s="1554"/>
      <c r="Y14" s="3321"/>
      <c r="Z14" s="1143">
        <f t="shared" si="7"/>
        <v>111</v>
      </c>
      <c r="AA14" s="1555">
        <f t="shared" si="3"/>
        <v>1</v>
      </c>
      <c r="AB14" s="1555">
        <f t="shared" si="4"/>
        <v>1</v>
      </c>
      <c r="AC14" s="1555">
        <f t="shared" si="5"/>
        <v>1</v>
      </c>
    </row>
    <row r="15" spans="1:29" ht="99.75">
      <c r="A15" s="2863" t="s">
        <v>2752</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110</v>
      </c>
      <c r="G15" s="550"/>
      <c r="H15" s="547">
        <f>SUMIF(76:76,G16,77:77)-SUMIF(76:76,C16,77:77)+100</f>
        <v>110</v>
      </c>
      <c r="I15" s="548"/>
      <c r="J15" s="547">
        <f>SUMIF(76:76,I16,77:77)-SUMIF(76:76,C16,77:77)+100</f>
        <v>110</v>
      </c>
      <c r="K15" s="866">
        <v>5</v>
      </c>
      <c r="L15" s="2125"/>
      <c r="M15" s="2117"/>
      <c r="N15" s="2117"/>
      <c r="O15" s="2124"/>
      <c r="P15" s="3411" t="s">
        <v>540</v>
      </c>
      <c r="Q15" s="1556" t="str">
        <f t="shared" si="6"/>
        <v>居住社区成熟度</v>
      </c>
      <c r="R15" s="1557" t="s">
        <v>11</v>
      </c>
      <c r="S15" s="1558">
        <f t="shared" si="0"/>
        <v>110</v>
      </c>
      <c r="T15" s="1557" t="s">
        <v>11</v>
      </c>
      <c r="U15" s="1558">
        <f t="shared" si="1"/>
        <v>110</v>
      </c>
      <c r="V15" s="1557" t="s">
        <v>11</v>
      </c>
      <c r="W15" s="1558">
        <f t="shared" si="2"/>
        <v>110</v>
      </c>
      <c r="X15" s="1551"/>
      <c r="Y15" s="3411" t="s">
        <v>540</v>
      </c>
      <c r="Z15" s="1559" t="str">
        <f t="shared" si="7"/>
        <v>居住社区成熟度</v>
      </c>
      <c r="AA15" s="1560">
        <f t="shared" si="3"/>
        <v>0.90909090909090906</v>
      </c>
      <c r="AB15" s="1560">
        <f t="shared" si="4"/>
        <v>0.90909090909090906</v>
      </c>
      <c r="AC15" s="1560">
        <f t="shared" si="5"/>
        <v>0.90909090909090906</v>
      </c>
    </row>
    <row r="16" spans="1:29" ht="15">
      <c r="A16" s="530"/>
      <c r="B16" s="867"/>
      <c r="C16" s="574" t="s">
        <v>3219</v>
      </c>
      <c r="D16" s="553"/>
      <c r="E16" s="554" t="s">
        <v>3179</v>
      </c>
      <c r="F16" s="555"/>
      <c r="G16" s="556" t="s">
        <v>3179</v>
      </c>
      <c r="H16" s="557"/>
      <c r="I16" s="554" t="s">
        <v>3179</v>
      </c>
      <c r="J16" s="553"/>
      <c r="K16" s="868"/>
      <c r="L16" s="2125"/>
      <c r="M16" s="2117"/>
      <c r="N16" s="2117"/>
      <c r="O16" s="2124"/>
      <c r="P16" s="3412"/>
      <c r="Q16" s="1556"/>
      <c r="R16" s="1557"/>
      <c r="S16" s="1558"/>
      <c r="T16" s="1557"/>
      <c r="U16" s="1558"/>
      <c r="V16" s="1557"/>
      <c r="W16" s="1558"/>
      <c r="X16" s="1551"/>
      <c r="Y16" s="3412"/>
      <c r="Z16" s="1559"/>
      <c r="AA16" s="1560">
        <v>1</v>
      </c>
      <c r="AB16" s="1560">
        <v>1</v>
      </c>
      <c r="AC16" s="1560">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110</v>
      </c>
      <c r="G17" s="562"/>
      <c r="H17" s="563">
        <f>SUMIF(78:78,G18,79:79)-SUMIF(78:78,C18,79:79)+100</f>
        <v>110</v>
      </c>
      <c r="I17" s="560"/>
      <c r="J17" s="563">
        <f>SUMIF(78:78,I18,79:79)-SUMIF(78:78,C18,79:79)+100</f>
        <v>110</v>
      </c>
      <c r="K17" s="866">
        <v>5</v>
      </c>
      <c r="L17" s="2125"/>
      <c r="M17" s="2117"/>
      <c r="N17" s="2117"/>
      <c r="O17" s="2124"/>
      <c r="P17" s="3412"/>
      <c r="Q17" s="1556" t="str">
        <f>B17</f>
        <v>交通便捷度</v>
      </c>
      <c r="R17" s="1557" t="s">
        <v>11</v>
      </c>
      <c r="S17" s="1558">
        <f>F17</f>
        <v>110</v>
      </c>
      <c r="T17" s="1557" t="s">
        <v>11</v>
      </c>
      <c r="U17" s="1558">
        <f>H17</f>
        <v>110</v>
      </c>
      <c r="V17" s="1557" t="s">
        <v>11</v>
      </c>
      <c r="W17" s="1558">
        <f>J17</f>
        <v>110</v>
      </c>
      <c r="X17" s="1551"/>
      <c r="Y17" s="3412"/>
      <c r="Z17" s="1559" t="str">
        <f>Q17</f>
        <v>交通便捷度</v>
      </c>
      <c r="AA17" s="1560">
        <f t="shared" si="3"/>
        <v>0.90909090909090906</v>
      </c>
      <c r="AB17" s="1560">
        <f t="shared" si="4"/>
        <v>0.90909090909090906</v>
      </c>
      <c r="AC17" s="1560">
        <f t="shared" si="5"/>
        <v>0.90909090909090906</v>
      </c>
    </row>
    <row r="18" spans="1:29" ht="15">
      <c r="A18" s="530"/>
      <c r="B18" s="593"/>
      <c r="C18" s="871" t="s">
        <v>3219</v>
      </c>
      <c r="D18" s="557"/>
      <c r="E18" s="566" t="s">
        <v>3179</v>
      </c>
      <c r="F18" s="561"/>
      <c r="G18" s="567" t="s">
        <v>3179</v>
      </c>
      <c r="H18" s="553"/>
      <c r="I18" s="566" t="s">
        <v>3179</v>
      </c>
      <c r="J18" s="553"/>
      <c r="K18" s="868"/>
      <c r="L18" s="2125"/>
      <c r="M18" s="2117"/>
      <c r="N18" s="2117"/>
      <c r="O18" s="2124"/>
      <c r="P18" s="3412"/>
      <c r="Q18" s="1556"/>
      <c r="R18" s="1557"/>
      <c r="S18" s="1558"/>
      <c r="T18" s="1557"/>
      <c r="U18" s="1558"/>
      <c r="V18" s="1557"/>
      <c r="W18" s="1558"/>
      <c r="X18" s="1551"/>
      <c r="Y18" s="3412"/>
      <c r="Z18" s="1559"/>
      <c r="AA18" s="1560">
        <v>1</v>
      </c>
      <c r="AB18" s="1560">
        <v>1</v>
      </c>
      <c r="AC18" s="1560">
        <v>1</v>
      </c>
    </row>
    <row r="19" spans="1:29" ht="42.75">
      <c r="A19" s="530"/>
      <c r="B19" s="2562" t="s">
        <v>2544</v>
      </c>
      <c r="C19" s="870" t="str">
        <f>估价对象房地状况!C7</f>
        <v>估价对象所在区域公共配套设施齐备情况</v>
      </c>
      <c r="D19" s="563">
        <v>100</v>
      </c>
      <c r="E19" s="568"/>
      <c r="F19" s="569">
        <f>SUMIF(80:80,E20,81:81)-SUMIF(80:80,C20,81:81)+100</f>
        <v>108</v>
      </c>
      <c r="G19" s="570"/>
      <c r="H19" s="557">
        <f>SUMIF(80:80,G20,81:81)-SUMIF(80:80,C20,81:81)+100</f>
        <v>108</v>
      </c>
      <c r="I19" s="568"/>
      <c r="J19" s="557">
        <f>SUMIF(80:80,I20,81:81)-SUMIF(80:80,C20,81:81)+100</f>
        <v>108</v>
      </c>
      <c r="K19" s="866">
        <v>4</v>
      </c>
      <c r="L19" s="2125"/>
      <c r="M19" s="2117"/>
      <c r="N19" s="2117"/>
      <c r="O19" s="2124"/>
      <c r="P19" s="3412"/>
      <c r="Q19" s="1556" t="str">
        <f>B19</f>
        <v>公共配套设施</v>
      </c>
      <c r="R19" s="1557" t="s">
        <v>11</v>
      </c>
      <c r="S19" s="1558">
        <f>F19</f>
        <v>108</v>
      </c>
      <c r="T19" s="1557" t="s">
        <v>11</v>
      </c>
      <c r="U19" s="1558">
        <f>H19</f>
        <v>108</v>
      </c>
      <c r="V19" s="1557" t="s">
        <v>11</v>
      </c>
      <c r="W19" s="1558">
        <f>J19</f>
        <v>108</v>
      </c>
      <c r="X19" s="1551"/>
      <c r="Y19" s="3412"/>
      <c r="Z19" s="1559" t="str">
        <f>Q19</f>
        <v>公共配套设施</v>
      </c>
      <c r="AA19" s="1560">
        <f t="shared" si="3"/>
        <v>0.92592592592592593</v>
      </c>
      <c r="AB19" s="1560">
        <f t="shared" si="4"/>
        <v>0.92592592592592593</v>
      </c>
      <c r="AC19" s="1560">
        <f t="shared" si="5"/>
        <v>0.92592592592592593</v>
      </c>
    </row>
    <row r="20" spans="1:29" ht="15">
      <c r="A20" s="530"/>
      <c r="B20" s="593"/>
      <c r="C20" s="574" t="s">
        <v>3219</v>
      </c>
      <c r="D20" s="553"/>
      <c r="E20" s="554" t="s">
        <v>3179</v>
      </c>
      <c r="F20" s="555"/>
      <c r="G20" s="556" t="s">
        <v>3179</v>
      </c>
      <c r="H20" s="553"/>
      <c r="I20" s="554" t="s">
        <v>3179</v>
      </c>
      <c r="J20" s="553"/>
      <c r="K20" s="868"/>
      <c r="L20" s="2125"/>
      <c r="M20" s="2117"/>
      <c r="N20" s="2117"/>
      <c r="O20" s="2124"/>
      <c r="P20" s="3412"/>
      <c r="Q20" s="1556"/>
      <c r="R20" s="1557"/>
      <c r="S20" s="1558"/>
      <c r="T20" s="1557"/>
      <c r="U20" s="1558"/>
      <c r="V20" s="1557"/>
      <c r="W20" s="1558"/>
      <c r="X20" s="1551"/>
      <c r="Y20" s="3412"/>
      <c r="Z20" s="1559"/>
      <c r="AA20" s="1560">
        <v>1</v>
      </c>
      <c r="AB20" s="1560">
        <v>1</v>
      </c>
      <c r="AC20" s="1560">
        <v>1</v>
      </c>
    </row>
    <row r="21" spans="1:29" ht="28.5">
      <c r="A21" s="530"/>
      <c r="B21" s="2555"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5"/>
      <c r="M21" s="2117"/>
      <c r="N21" s="2117"/>
      <c r="O21" s="2124"/>
      <c r="P21" s="3412"/>
      <c r="Q21" s="2541" t="str">
        <f>B21</f>
        <v>基础设施水平</v>
      </c>
      <c r="R21" s="1557" t="s">
        <v>11</v>
      </c>
      <c r="S21" s="1558">
        <f>F21</f>
        <v>100</v>
      </c>
      <c r="T21" s="1557" t="s">
        <v>11</v>
      </c>
      <c r="U21" s="1558">
        <f>H21</f>
        <v>100</v>
      </c>
      <c r="V21" s="1557" t="s">
        <v>11</v>
      </c>
      <c r="W21" s="1558">
        <f>J21</f>
        <v>100</v>
      </c>
      <c r="X21" s="2543"/>
      <c r="Y21" s="3412"/>
      <c r="Z21" s="2542" t="str">
        <f>Q21</f>
        <v>基础设施水平</v>
      </c>
      <c r="AA21" s="1560">
        <f t="shared" ref="AA21" si="8">D21/F21</f>
        <v>1</v>
      </c>
      <c r="AB21" s="1560">
        <f t="shared" ref="AB21" si="9">D21/H21</f>
        <v>1</v>
      </c>
      <c r="AC21" s="1560">
        <f t="shared" ref="AC21" si="10">D21/J21</f>
        <v>1</v>
      </c>
    </row>
    <row r="22" spans="1:29" ht="15">
      <c r="A22" s="530"/>
      <c r="B22" s="919"/>
      <c r="C22" s="871" t="s">
        <v>3180</v>
      </c>
      <c r="D22" s="553"/>
      <c r="E22" s="574" t="s">
        <v>3180</v>
      </c>
      <c r="F22" s="555"/>
      <c r="G22" s="574" t="s">
        <v>3180</v>
      </c>
      <c r="H22" s="553"/>
      <c r="I22" s="574" t="s">
        <v>3180</v>
      </c>
      <c r="J22" s="553"/>
      <c r="K22" s="2561"/>
      <c r="L22" s="2125"/>
      <c r="M22" s="2117"/>
      <c r="N22" s="2117"/>
      <c r="O22" s="2124"/>
      <c r="P22" s="3412"/>
      <c r="Q22" s="2541"/>
      <c r="R22" s="1557"/>
      <c r="S22" s="1558"/>
      <c r="T22" s="1557"/>
      <c r="U22" s="1558"/>
      <c r="V22" s="1557"/>
      <c r="W22" s="1558"/>
      <c r="X22" s="2543"/>
      <c r="Y22" s="3412"/>
      <c r="Z22" s="2542"/>
      <c r="AA22" s="1560">
        <v>1</v>
      </c>
      <c r="AB22" s="1560">
        <v>1</v>
      </c>
      <c r="AC22" s="1560">
        <v>1</v>
      </c>
    </row>
    <row r="23" spans="1:29" ht="57">
      <c r="A23" s="530"/>
      <c r="B23" s="869" t="s">
        <v>297</v>
      </c>
      <c r="C23" s="870" t="str">
        <f>估价对象房地状况!C9</f>
        <v>区域自然环境：；人文环境；综合评价环境状况一般</v>
      </c>
      <c r="D23" s="557">
        <v>100</v>
      </c>
      <c r="E23" s="560"/>
      <c r="F23" s="561">
        <f>SUMIF(84:84,E24,85:85)-SUMIF(84:84,C24,85:85)+100</f>
        <v>110</v>
      </c>
      <c r="G23" s="562"/>
      <c r="H23" s="557">
        <f>SUMIF(84:84,G24,85:85)-SUMIF(84:84,C24,85:85)+100</f>
        <v>110</v>
      </c>
      <c r="I23" s="560"/>
      <c r="J23" s="557">
        <f>SUMIF(84:84,I24,85:85)-SUMIF(84:84,C24,85:85)+100</f>
        <v>110</v>
      </c>
      <c r="K23" s="866">
        <v>5</v>
      </c>
      <c r="L23" s="2125"/>
      <c r="M23" s="2117"/>
      <c r="N23" s="2117"/>
      <c r="O23" s="2124"/>
      <c r="P23" s="3412"/>
      <c r="Q23" s="1556" t="str">
        <f>B23</f>
        <v>自然及人文环境</v>
      </c>
      <c r="R23" s="1557" t="s">
        <v>11</v>
      </c>
      <c r="S23" s="1558">
        <f>F23</f>
        <v>110</v>
      </c>
      <c r="T23" s="1557" t="s">
        <v>11</v>
      </c>
      <c r="U23" s="1558">
        <f>H23</f>
        <v>110</v>
      </c>
      <c r="V23" s="1557" t="s">
        <v>11</v>
      </c>
      <c r="W23" s="1558">
        <f>J23</f>
        <v>110</v>
      </c>
      <c r="X23" s="1551"/>
      <c r="Y23" s="3412"/>
      <c r="Z23" s="1559" t="str">
        <f>Q23</f>
        <v>自然及人文环境</v>
      </c>
      <c r="AA23" s="1560">
        <f t="shared" si="3"/>
        <v>0.90909090909090906</v>
      </c>
      <c r="AB23" s="1560">
        <f t="shared" si="4"/>
        <v>0.90909090909090906</v>
      </c>
      <c r="AC23" s="1560">
        <f t="shared" si="5"/>
        <v>0.90909090909090906</v>
      </c>
    </row>
    <row r="24" spans="1:29" ht="15.75" thickBot="1">
      <c r="A24" s="530"/>
      <c r="B24" s="593"/>
      <c r="C24" s="574" t="s">
        <v>3219</v>
      </c>
      <c r="D24" s="553"/>
      <c r="E24" s="554" t="s">
        <v>3179</v>
      </c>
      <c r="F24" s="555"/>
      <c r="G24" s="556" t="s">
        <v>3179</v>
      </c>
      <c r="H24" s="553"/>
      <c r="I24" s="554" t="s">
        <v>3179</v>
      </c>
      <c r="J24" s="553"/>
      <c r="K24" s="868"/>
      <c r="L24" s="2125"/>
      <c r="M24" s="2117"/>
      <c r="N24" s="2117"/>
      <c r="O24" s="2124"/>
      <c r="P24" s="3412"/>
      <c r="Q24" s="1556"/>
      <c r="R24" s="1557"/>
      <c r="S24" s="1558"/>
      <c r="T24" s="1557"/>
      <c r="U24" s="1558"/>
      <c r="V24" s="1557"/>
      <c r="W24" s="1558"/>
      <c r="X24" s="1551"/>
      <c r="Y24" s="3412"/>
      <c r="Z24" s="1559"/>
      <c r="AA24" s="1560">
        <v>1</v>
      </c>
      <c r="AB24" s="1560">
        <v>1</v>
      </c>
      <c r="AC24" s="1560">
        <v>1</v>
      </c>
    </row>
    <row r="25" spans="1:29" ht="15" hidden="1">
      <c r="A25" s="530"/>
      <c r="B25" s="1878" t="s">
        <v>2255</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12"/>
      <c r="Q25" s="1556" t="str">
        <f t="shared" ref="Q25:Q46" si="11">B25</f>
        <v>楼层-1</v>
      </c>
      <c r="R25" s="1557" t="s">
        <v>11</v>
      </c>
      <c r="S25" s="1558">
        <f>F25</f>
        <v>100</v>
      </c>
      <c r="T25" s="1557" t="s">
        <v>11</v>
      </c>
      <c r="U25" s="1558">
        <f>H25</f>
        <v>100</v>
      </c>
      <c r="V25" s="1557" t="s">
        <v>11</v>
      </c>
      <c r="W25" s="1558">
        <f>J25</f>
        <v>100</v>
      </c>
      <c r="X25" s="1551"/>
      <c r="Y25" s="3412"/>
      <c r="Z25" s="1559" t="str">
        <f>Q25</f>
        <v>楼层-1</v>
      </c>
      <c r="AA25" s="1560">
        <f t="shared" si="3"/>
        <v>1</v>
      </c>
      <c r="AB25" s="1560">
        <f t="shared" si="4"/>
        <v>1</v>
      </c>
      <c r="AC25" s="1560">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12"/>
      <c r="Q26" s="1556" t="str">
        <f t="shared" si="11"/>
        <v>朝向</v>
      </c>
      <c r="R26" s="1557" t="s">
        <v>11</v>
      </c>
      <c r="S26" s="1558">
        <f>F26</f>
        <v>100</v>
      </c>
      <c r="T26" s="1557" t="s">
        <v>11</v>
      </c>
      <c r="U26" s="1558">
        <f>H26</f>
        <v>100</v>
      </c>
      <c r="V26" s="1557" t="s">
        <v>11</v>
      </c>
      <c r="W26" s="1558">
        <f>J26</f>
        <v>100</v>
      </c>
      <c r="X26" s="1551"/>
      <c r="Y26" s="3412"/>
      <c r="Z26" s="1559" t="str">
        <f>Q26</f>
        <v>朝向</v>
      </c>
      <c r="AA26" s="1560">
        <f t="shared" si="3"/>
        <v>1</v>
      </c>
      <c r="AB26" s="1560">
        <f t="shared" si="4"/>
        <v>1</v>
      </c>
      <c r="AC26" s="1560">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8"/>
      <c r="M27" s="2119"/>
      <c r="N27" s="2119"/>
      <c r="O27" s="2120"/>
      <c r="P27" s="3412"/>
      <c r="Q27" s="1144" t="str">
        <f t="shared" si="11"/>
        <v>道路级别</v>
      </c>
      <c r="R27" s="1552" t="s">
        <v>11</v>
      </c>
      <c r="S27" s="1553">
        <f>F27</f>
        <v>100</v>
      </c>
      <c r="T27" s="1552" t="s">
        <v>11</v>
      </c>
      <c r="U27" s="1553">
        <f>H27</f>
        <v>100</v>
      </c>
      <c r="V27" s="1552" t="s">
        <v>11</v>
      </c>
      <c r="W27" s="1553">
        <f>J27</f>
        <v>100</v>
      </c>
      <c r="X27" s="1554"/>
      <c r="Y27" s="3412"/>
      <c r="Z27" s="1143"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12"/>
      <c r="Q28" s="1556">
        <f t="shared" si="11"/>
        <v>111</v>
      </c>
      <c r="R28" s="1557" t="s">
        <v>11</v>
      </c>
      <c r="S28" s="1558">
        <f t="shared" ref="S28:S46" si="12">F28</f>
        <v>100</v>
      </c>
      <c r="T28" s="1557" t="s">
        <v>11</v>
      </c>
      <c r="U28" s="1558">
        <f t="shared" ref="U28:U46" si="13">H28</f>
        <v>100</v>
      </c>
      <c r="V28" s="1557" t="s">
        <v>11</v>
      </c>
      <c r="W28" s="1558">
        <f t="shared" ref="W28:W46" si="14">J28</f>
        <v>100</v>
      </c>
      <c r="X28" s="1551"/>
      <c r="Y28" s="3412"/>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12"/>
      <c r="Q29" s="1556">
        <f t="shared" si="11"/>
        <v>111</v>
      </c>
      <c r="R29" s="1557" t="s">
        <v>11</v>
      </c>
      <c r="S29" s="1558">
        <f t="shared" si="12"/>
        <v>100</v>
      </c>
      <c r="T29" s="1557" t="s">
        <v>11</v>
      </c>
      <c r="U29" s="1558">
        <f t="shared" si="13"/>
        <v>100</v>
      </c>
      <c r="V29" s="1557" t="s">
        <v>11</v>
      </c>
      <c r="W29" s="1558">
        <f t="shared" si="14"/>
        <v>100</v>
      </c>
      <c r="X29" s="1551"/>
      <c r="Y29" s="3412"/>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12"/>
      <c r="Q30" s="1556">
        <f t="shared" si="11"/>
        <v>111</v>
      </c>
      <c r="R30" s="1557" t="s">
        <v>11</v>
      </c>
      <c r="S30" s="1558">
        <f t="shared" si="12"/>
        <v>100</v>
      </c>
      <c r="T30" s="1557" t="s">
        <v>11</v>
      </c>
      <c r="U30" s="1558">
        <f t="shared" si="13"/>
        <v>100</v>
      </c>
      <c r="V30" s="1557" t="s">
        <v>11</v>
      </c>
      <c r="W30" s="1558">
        <f t="shared" si="14"/>
        <v>100</v>
      </c>
      <c r="X30" s="1551"/>
      <c r="Y30" s="3412"/>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12"/>
      <c r="Q31" s="1556">
        <f t="shared" si="11"/>
        <v>111</v>
      </c>
      <c r="R31" s="1557" t="s">
        <v>11</v>
      </c>
      <c r="S31" s="1558">
        <f t="shared" si="12"/>
        <v>100</v>
      </c>
      <c r="T31" s="1557" t="s">
        <v>11</v>
      </c>
      <c r="U31" s="1558">
        <f t="shared" si="13"/>
        <v>100</v>
      </c>
      <c r="V31" s="1557" t="s">
        <v>11</v>
      </c>
      <c r="W31" s="1558">
        <f t="shared" si="14"/>
        <v>100</v>
      </c>
      <c r="X31" s="1551"/>
      <c r="Y31" s="3412"/>
      <c r="Z31" s="1559">
        <f t="shared" si="15"/>
        <v>111</v>
      </c>
      <c r="AA31" s="1560">
        <f t="shared" si="3"/>
        <v>1</v>
      </c>
      <c r="AB31" s="1560">
        <f t="shared" si="4"/>
        <v>1</v>
      </c>
      <c r="AC31" s="1560">
        <f t="shared" si="5"/>
        <v>1</v>
      </c>
    </row>
    <row r="32" spans="1:29" ht="15">
      <c r="A32" s="2860" t="s">
        <v>2753</v>
      </c>
      <c r="B32" s="172" t="s">
        <v>725</v>
      </c>
      <c r="C32" s="876" t="s">
        <v>3207</v>
      </c>
      <c r="D32" s="595">
        <v>100</v>
      </c>
      <c r="E32" s="876" t="s">
        <v>3207</v>
      </c>
      <c r="F32" s="573">
        <f>SUMIF(100:100,E32,101:101)-SUMIF(100:100,C32,101:101)+100</f>
        <v>100</v>
      </c>
      <c r="G32" s="876" t="s">
        <v>3207</v>
      </c>
      <c r="H32" s="595">
        <f>SUMIF(100:100,G32,101:101)-SUMIF(100:100,C32,101:101)+100</f>
        <v>100</v>
      </c>
      <c r="I32" s="876" t="s">
        <v>3207</v>
      </c>
      <c r="J32" s="538">
        <f>SUMIF(100:100,I32,101:101)-SUMIF(100:100,C32,101:101)+100</f>
        <v>100</v>
      </c>
      <c r="K32" s="862"/>
      <c r="L32" s="2125"/>
      <c r="M32" s="2117"/>
      <c r="N32" s="2117"/>
      <c r="O32" s="2124"/>
      <c r="P32" s="3413" t="s">
        <v>550</v>
      </c>
      <c r="Q32" s="1556" t="str">
        <f t="shared" si="11"/>
        <v>建筑类型</v>
      </c>
      <c r="R32" s="1557" t="s">
        <v>11</v>
      </c>
      <c r="S32" s="1558">
        <f t="shared" si="12"/>
        <v>100</v>
      </c>
      <c r="T32" s="1557" t="s">
        <v>11</v>
      </c>
      <c r="U32" s="1558">
        <f t="shared" si="13"/>
        <v>100</v>
      </c>
      <c r="V32" s="1557" t="s">
        <v>11</v>
      </c>
      <c r="W32" s="1558">
        <f t="shared" si="14"/>
        <v>100</v>
      </c>
      <c r="X32" s="1551"/>
      <c r="Y32" s="3414" t="s">
        <v>550</v>
      </c>
      <c r="Z32" s="1559" t="str">
        <f t="shared" si="15"/>
        <v>建筑类型</v>
      </c>
      <c r="AA32" s="1560">
        <f t="shared" si="3"/>
        <v>1</v>
      </c>
      <c r="AB32" s="1560">
        <f t="shared" si="4"/>
        <v>1</v>
      </c>
      <c r="AC32" s="1560">
        <f t="shared" si="5"/>
        <v>1</v>
      </c>
    </row>
    <row r="33" spans="1:29" s="1332" customFormat="1" ht="15">
      <c r="A33" s="601"/>
      <c r="B33" s="525" t="s">
        <v>726</v>
      </c>
      <c r="C33" s="877"/>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3"/>
      <c r="M33" s="2154"/>
      <c r="N33" s="2154"/>
      <c r="O33" s="2126"/>
      <c r="P33" s="3414"/>
      <c r="Q33" s="1588" t="str">
        <f t="shared" si="11"/>
        <v>项目建筑规模</v>
      </c>
      <c r="R33" s="1561" t="s">
        <v>11</v>
      </c>
      <c r="S33" s="1562">
        <f t="shared" si="12"/>
        <v>100</v>
      </c>
      <c r="T33" s="1561" t="s">
        <v>11</v>
      </c>
      <c r="U33" s="1562">
        <f t="shared" si="13"/>
        <v>100</v>
      </c>
      <c r="V33" s="1561" t="s">
        <v>11</v>
      </c>
      <c r="W33" s="1562">
        <f t="shared" si="14"/>
        <v>100</v>
      </c>
      <c r="X33" s="1563"/>
      <c r="Y33" s="3414"/>
      <c r="Z33" s="1564" t="str">
        <f t="shared" si="15"/>
        <v>项目建筑规模</v>
      </c>
      <c r="AA33" s="1560">
        <f t="shared" si="3"/>
        <v>1</v>
      </c>
      <c r="AB33" s="1560">
        <f t="shared" si="4"/>
        <v>1</v>
      </c>
      <c r="AC33" s="1560">
        <f t="shared" si="5"/>
        <v>1</v>
      </c>
    </row>
    <row r="34" spans="1:29" ht="15">
      <c r="A34" s="592"/>
      <c r="B34" s="525" t="s">
        <v>727</v>
      </c>
      <c r="C34" s="878" t="s">
        <v>3169</v>
      </c>
      <c r="D34" s="538">
        <v>100</v>
      </c>
      <c r="E34" s="879" t="s">
        <v>3169</v>
      </c>
      <c r="F34" s="573">
        <f>SUMIF(105:105,E34,106:106)-SUMIF(105:105,C34,106:106)+100</f>
        <v>100</v>
      </c>
      <c r="G34" s="878" t="s">
        <v>3169</v>
      </c>
      <c r="H34" s="538">
        <f>SUMIF(105:105,G34,106:106)-SUMIF(105:105,C34,106:106)+100</f>
        <v>100</v>
      </c>
      <c r="I34" s="878" t="s">
        <v>3169</v>
      </c>
      <c r="J34" s="538">
        <f>SUMIF(105:105,I34,106:106)-SUMIF(105:105,C34,106:106)+100</f>
        <v>100</v>
      </c>
      <c r="K34" s="862">
        <v>1</v>
      </c>
      <c r="L34" s="2125"/>
      <c r="M34" s="2117"/>
      <c r="N34" s="2117"/>
      <c r="O34" s="2124"/>
      <c r="P34" s="3414"/>
      <c r="Q34" s="1556" t="str">
        <f t="shared" si="11"/>
        <v>建筑结构</v>
      </c>
      <c r="R34" s="1557" t="s">
        <v>11</v>
      </c>
      <c r="S34" s="1558">
        <f t="shared" si="12"/>
        <v>100</v>
      </c>
      <c r="T34" s="1557" t="s">
        <v>11</v>
      </c>
      <c r="U34" s="1558">
        <f t="shared" si="13"/>
        <v>100</v>
      </c>
      <c r="V34" s="1557" t="s">
        <v>11</v>
      </c>
      <c r="W34" s="1558">
        <f t="shared" si="14"/>
        <v>100</v>
      </c>
      <c r="X34" s="1551"/>
      <c r="Y34" s="3414"/>
      <c r="Z34" s="1559" t="str">
        <f t="shared" si="15"/>
        <v>建筑结构</v>
      </c>
      <c r="AA34" s="1560">
        <f t="shared" si="3"/>
        <v>1</v>
      </c>
      <c r="AB34" s="1560">
        <f t="shared" si="4"/>
        <v>1</v>
      </c>
      <c r="AC34" s="1560">
        <f t="shared" si="5"/>
        <v>1</v>
      </c>
    </row>
    <row r="35" spans="1:29" ht="15">
      <c r="A35" s="592"/>
      <c r="B35" s="525" t="s">
        <v>728</v>
      </c>
      <c r="C35" s="597" t="s">
        <v>3202</v>
      </c>
      <c r="D35" s="538">
        <v>100</v>
      </c>
      <c r="E35" s="597" t="s">
        <v>3202</v>
      </c>
      <c r="F35" s="573">
        <f>SUMIF(107:107,E35,108:108)-SUMIF(107:107,C35,108:108)+100</f>
        <v>100</v>
      </c>
      <c r="G35" s="597" t="s">
        <v>3202</v>
      </c>
      <c r="H35" s="538">
        <f>SUMIF(107:107,G35,108:108)-SUMIF(107:107,C35,108:108)+100</f>
        <v>100</v>
      </c>
      <c r="I35" s="597" t="s">
        <v>3202</v>
      </c>
      <c r="J35" s="538">
        <f>SUMIF(107:107,I35,108:108)-SUMIF(107:107,C35,108:108)+100</f>
        <v>100</v>
      </c>
      <c r="K35" s="862">
        <v>3</v>
      </c>
      <c r="L35" s="2125"/>
      <c r="M35" s="2117"/>
      <c r="N35" s="2117"/>
      <c r="O35" s="2124"/>
      <c r="P35" s="3414"/>
      <c r="Q35" s="1556" t="str">
        <f t="shared" si="11"/>
        <v>建筑品质</v>
      </c>
      <c r="R35" s="1557" t="s">
        <v>11</v>
      </c>
      <c r="S35" s="1558">
        <f t="shared" si="12"/>
        <v>100</v>
      </c>
      <c r="T35" s="1557" t="s">
        <v>11</v>
      </c>
      <c r="U35" s="1558">
        <f t="shared" si="13"/>
        <v>100</v>
      </c>
      <c r="V35" s="1557" t="s">
        <v>11</v>
      </c>
      <c r="W35" s="1558">
        <f t="shared" si="14"/>
        <v>100</v>
      </c>
      <c r="X35" s="1551"/>
      <c r="Y35" s="3414"/>
      <c r="Z35" s="1559" t="str">
        <f t="shared" si="15"/>
        <v>建筑品质</v>
      </c>
      <c r="AA35" s="1560">
        <f t="shared" si="3"/>
        <v>1</v>
      </c>
      <c r="AB35" s="1560">
        <f t="shared" si="4"/>
        <v>1</v>
      </c>
      <c r="AC35" s="1560">
        <f t="shared" si="5"/>
        <v>1</v>
      </c>
    </row>
    <row r="36" spans="1:29" ht="15">
      <c r="A36" s="592"/>
      <c r="B36" s="525" t="s">
        <v>729</v>
      </c>
      <c r="C36" s="597" t="s">
        <v>3203</v>
      </c>
      <c r="D36" s="538">
        <v>100</v>
      </c>
      <c r="E36" s="597" t="s">
        <v>3203</v>
      </c>
      <c r="F36" s="573">
        <f>SUMIF(109:109,E36,110:110)-SUMIF(109:109,C36,110:110)+100</f>
        <v>100</v>
      </c>
      <c r="G36" s="597" t="s">
        <v>3203</v>
      </c>
      <c r="H36" s="538">
        <f>SUMIF(109:109,G36,110:110)-SUMIF(109:109,C36,110:110)+100</f>
        <v>100</v>
      </c>
      <c r="I36" s="597" t="s">
        <v>3203</v>
      </c>
      <c r="J36" s="538">
        <f>SUMIF(109:109,I36,110:110)-SUMIF(109:109,C36,110:110)+100</f>
        <v>100</v>
      </c>
      <c r="K36" s="862">
        <v>1</v>
      </c>
      <c r="L36" s="2125"/>
      <c r="M36" s="2117"/>
      <c r="N36" s="2117"/>
      <c r="O36" s="2124"/>
      <c r="P36" s="3414"/>
      <c r="Q36" s="1556" t="str">
        <f t="shared" si="11"/>
        <v>公共部分装修</v>
      </c>
      <c r="R36" s="1557" t="s">
        <v>11</v>
      </c>
      <c r="S36" s="1558">
        <f t="shared" si="12"/>
        <v>100</v>
      </c>
      <c r="T36" s="1557" t="s">
        <v>11</v>
      </c>
      <c r="U36" s="1558">
        <f t="shared" si="13"/>
        <v>100</v>
      </c>
      <c r="V36" s="1557" t="s">
        <v>11</v>
      </c>
      <c r="W36" s="1558">
        <f t="shared" si="14"/>
        <v>100</v>
      </c>
      <c r="X36" s="1551"/>
      <c r="Y36" s="3414"/>
      <c r="Z36" s="1559" t="str">
        <f t="shared" si="15"/>
        <v>公共部分装修</v>
      </c>
      <c r="AA36" s="1560">
        <f t="shared" si="3"/>
        <v>1</v>
      </c>
      <c r="AB36" s="1560">
        <f t="shared" si="4"/>
        <v>1</v>
      </c>
      <c r="AC36" s="1560">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18"/>
      <c r="M37" s="2119"/>
      <c r="N37" s="2119"/>
      <c r="O37" s="2120"/>
      <c r="P37" s="3414"/>
      <c r="Q37" s="1144" t="str">
        <f t="shared" si="11"/>
        <v>成新度</v>
      </c>
      <c r="R37" s="1552" t="s">
        <v>11</v>
      </c>
      <c r="S37" s="1553">
        <f t="shared" si="12"/>
        <v>100</v>
      </c>
      <c r="T37" s="1552" t="s">
        <v>11</v>
      </c>
      <c r="U37" s="1553">
        <f t="shared" si="13"/>
        <v>100</v>
      </c>
      <c r="V37" s="1552" t="s">
        <v>11</v>
      </c>
      <c r="W37" s="1553">
        <f t="shared" si="14"/>
        <v>100</v>
      </c>
      <c r="X37" s="1554"/>
      <c r="Y37" s="3414"/>
      <c r="Z37" s="1143" t="str">
        <f t="shared" si="15"/>
        <v>成新度</v>
      </c>
      <c r="AA37" s="1555">
        <f t="shared" si="3"/>
        <v>1</v>
      </c>
      <c r="AB37" s="1555">
        <f t="shared" si="4"/>
        <v>1</v>
      </c>
      <c r="AC37" s="1555">
        <f t="shared" si="5"/>
        <v>1</v>
      </c>
    </row>
    <row r="38" spans="1:29" ht="15">
      <c r="A38" s="592"/>
      <c r="B38" s="525" t="s">
        <v>731</v>
      </c>
      <c r="C38" s="597" t="s">
        <v>3204</v>
      </c>
      <c r="D38" s="538">
        <v>100</v>
      </c>
      <c r="E38" s="597" t="s">
        <v>3204</v>
      </c>
      <c r="F38" s="573">
        <f>SUMIF(114:114,E38,115:115)-SUMIF(114:114,C38,115:115)+100</f>
        <v>100</v>
      </c>
      <c r="G38" s="597" t="s">
        <v>3204</v>
      </c>
      <c r="H38" s="538">
        <f>SUMIF(114:114,G38,115:115)-SUMIF(114:114,C38,115:115)+100</f>
        <v>100</v>
      </c>
      <c r="I38" s="597" t="s">
        <v>3204</v>
      </c>
      <c r="J38" s="538">
        <f>SUMIF(114:114,I38,115:115)-SUMIF(114:114,C38,115:115)+100</f>
        <v>100</v>
      </c>
      <c r="K38" s="862">
        <v>1</v>
      </c>
      <c r="L38" s="2125"/>
      <c r="M38" s="2117"/>
      <c r="N38" s="2117"/>
      <c r="O38" s="2124"/>
      <c r="P38" s="3414" t="s">
        <v>550</v>
      </c>
      <c r="Q38" s="1556" t="str">
        <f t="shared" si="11"/>
        <v>物业管理</v>
      </c>
      <c r="R38" s="1557" t="s">
        <v>11</v>
      </c>
      <c r="S38" s="1558">
        <f t="shared" si="12"/>
        <v>100</v>
      </c>
      <c r="T38" s="1557" t="s">
        <v>11</v>
      </c>
      <c r="U38" s="1558">
        <f t="shared" si="13"/>
        <v>100</v>
      </c>
      <c r="V38" s="1557" t="s">
        <v>11</v>
      </c>
      <c r="W38" s="1558">
        <f t="shared" si="14"/>
        <v>100</v>
      </c>
      <c r="X38" s="1551"/>
      <c r="Y38" s="3414" t="s">
        <v>550</v>
      </c>
      <c r="Z38" s="1559" t="str">
        <f t="shared" si="15"/>
        <v>物业管理</v>
      </c>
      <c r="AA38" s="1560">
        <f t="shared" si="3"/>
        <v>1</v>
      </c>
      <c r="AB38" s="1560">
        <f t="shared" si="4"/>
        <v>1</v>
      </c>
      <c r="AC38" s="1560">
        <f t="shared" si="5"/>
        <v>1</v>
      </c>
    </row>
    <row r="39" spans="1:29" ht="15">
      <c r="A39" s="592"/>
      <c r="B39" s="1878" t="s">
        <v>2562</v>
      </c>
      <c r="C39" s="597" t="s">
        <v>3180</v>
      </c>
      <c r="D39" s="538">
        <v>100</v>
      </c>
      <c r="E39" s="597" t="s">
        <v>3180</v>
      </c>
      <c r="F39" s="573">
        <f>SUMIF(116:116,E39,117:117)-SUMIF(116:116,C39,117:117)+100</f>
        <v>100</v>
      </c>
      <c r="G39" s="597" t="s">
        <v>3180</v>
      </c>
      <c r="H39" s="538">
        <f>SUMIF(116:116,G39,117:117)-SUMIF(116:116,C39,117:117)+100</f>
        <v>100</v>
      </c>
      <c r="I39" s="597" t="s">
        <v>3180</v>
      </c>
      <c r="J39" s="538">
        <f>SUMIF(116:116,I39,117:117)-SUMIF(116:116,C39,117:117)+100</f>
        <v>100</v>
      </c>
      <c r="K39" s="862">
        <v>1</v>
      </c>
      <c r="L39" s="2125"/>
      <c r="M39" s="2117"/>
      <c r="N39" s="2117"/>
      <c r="O39" s="2124"/>
      <c r="P39" s="3414"/>
      <c r="Q39" s="1556" t="str">
        <f t="shared" si="11"/>
        <v>市政基础设施</v>
      </c>
      <c r="R39" s="1557" t="s">
        <v>11</v>
      </c>
      <c r="S39" s="1558">
        <f t="shared" si="12"/>
        <v>100</v>
      </c>
      <c r="T39" s="1557" t="s">
        <v>11</v>
      </c>
      <c r="U39" s="1558">
        <f t="shared" si="13"/>
        <v>100</v>
      </c>
      <c r="V39" s="1557" t="s">
        <v>11</v>
      </c>
      <c r="W39" s="1558">
        <f t="shared" si="14"/>
        <v>100</v>
      </c>
      <c r="X39" s="1551"/>
      <c r="Y39" s="3414"/>
      <c r="Z39" s="1559" t="str">
        <f t="shared" si="15"/>
        <v>市政基础设施</v>
      </c>
      <c r="AA39" s="1560">
        <f t="shared" si="3"/>
        <v>1</v>
      </c>
      <c r="AB39" s="1560">
        <f t="shared" si="4"/>
        <v>1</v>
      </c>
      <c r="AC39" s="1560">
        <f t="shared" si="5"/>
        <v>1</v>
      </c>
    </row>
    <row r="40" spans="1:29" ht="15">
      <c r="A40" s="592"/>
      <c r="B40" s="525" t="s">
        <v>732</v>
      </c>
      <c r="C40" s="597" t="s">
        <v>3205</v>
      </c>
      <c r="D40" s="538">
        <v>100</v>
      </c>
      <c r="E40" s="597" t="s">
        <v>3205</v>
      </c>
      <c r="F40" s="573">
        <f>SUMIF(118:118,E40,119:119)-SUMIF(118:118,C40,119:119)+100</f>
        <v>100</v>
      </c>
      <c r="G40" s="597" t="s">
        <v>3205</v>
      </c>
      <c r="H40" s="538">
        <f>SUMIF(118:118,G40,119:119)-SUMIF(118:118,C40,119:119)+100</f>
        <v>100</v>
      </c>
      <c r="I40" s="597" t="s">
        <v>3205</v>
      </c>
      <c r="J40" s="538">
        <f>SUMIF(118:118,I40,119:119)-SUMIF(118:118,C40,119:119)+100</f>
        <v>100</v>
      </c>
      <c r="K40" s="862">
        <v>1</v>
      </c>
      <c r="L40" s="2125"/>
      <c r="M40" s="2117"/>
      <c r="N40" s="2117"/>
      <c r="O40" s="2124"/>
      <c r="P40" s="3414"/>
      <c r="Q40" s="1556" t="str">
        <f t="shared" si="11"/>
        <v>房型</v>
      </c>
      <c r="R40" s="1557" t="s">
        <v>11</v>
      </c>
      <c r="S40" s="1558">
        <f t="shared" si="12"/>
        <v>100</v>
      </c>
      <c r="T40" s="1557" t="s">
        <v>11</v>
      </c>
      <c r="U40" s="1558">
        <f t="shared" si="13"/>
        <v>100</v>
      </c>
      <c r="V40" s="1557" t="s">
        <v>11</v>
      </c>
      <c r="W40" s="1558">
        <f t="shared" si="14"/>
        <v>100</v>
      </c>
      <c r="X40" s="1551"/>
      <c r="Y40" s="3414"/>
      <c r="Z40" s="1559" t="str">
        <f t="shared" si="15"/>
        <v>房型</v>
      </c>
      <c r="AA40" s="1560">
        <f t="shared" si="3"/>
        <v>1</v>
      </c>
      <c r="AB40" s="1560">
        <f t="shared" si="4"/>
        <v>1</v>
      </c>
      <c r="AC40" s="1560">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3"/>
      <c r="M41" s="2154"/>
      <c r="N41" s="2154"/>
      <c r="O41" s="2126"/>
      <c r="P41" s="3414"/>
      <c r="Q41" s="1588" t="str">
        <f t="shared" si="11"/>
        <v>单套/主力户型建筑面积</v>
      </c>
      <c r="R41" s="1561" t="s">
        <v>11</v>
      </c>
      <c r="S41" s="1562">
        <f t="shared" si="12"/>
        <v>100</v>
      </c>
      <c r="T41" s="1561" t="s">
        <v>11</v>
      </c>
      <c r="U41" s="1562">
        <f t="shared" si="13"/>
        <v>100</v>
      </c>
      <c r="V41" s="1561" t="s">
        <v>11</v>
      </c>
      <c r="W41" s="1562">
        <f t="shared" si="14"/>
        <v>100</v>
      </c>
      <c r="X41" s="1563"/>
      <c r="Y41" s="3414"/>
      <c r="Z41" s="1564" t="str">
        <f t="shared" si="15"/>
        <v>单套/主力户型建筑面积</v>
      </c>
      <c r="AA41" s="1560">
        <f t="shared" si="3"/>
        <v>1</v>
      </c>
      <c r="AB41" s="1560">
        <f t="shared" si="4"/>
        <v>1</v>
      </c>
      <c r="AC41" s="1560">
        <f t="shared" si="5"/>
        <v>1</v>
      </c>
    </row>
    <row r="42" spans="1:29" ht="15">
      <c r="A42" s="592"/>
      <c r="B42" s="525" t="s">
        <v>734</v>
      </c>
      <c r="C42" s="597" t="s">
        <v>3206</v>
      </c>
      <c r="D42" s="538">
        <v>100</v>
      </c>
      <c r="E42" s="597" t="s">
        <v>3206</v>
      </c>
      <c r="F42" s="573">
        <f>SUMIF(122:122,E42,123:123)-SUMIF(122:122,C42,123:123)+100</f>
        <v>100</v>
      </c>
      <c r="G42" s="597" t="s">
        <v>3206</v>
      </c>
      <c r="H42" s="538">
        <f>SUMIF(122:122,G42,123:123)-SUMIF(122:122,C42,123:123)+100</f>
        <v>100</v>
      </c>
      <c r="I42" s="597" t="s">
        <v>3206</v>
      </c>
      <c r="J42" s="538">
        <f>SUMIF(122:122,I42,123:123)-SUMIF(122:122,C42,123:123)+100</f>
        <v>100</v>
      </c>
      <c r="K42" s="862">
        <v>1</v>
      </c>
      <c r="L42" s="2125"/>
      <c r="M42" s="2117"/>
      <c r="N42" s="2117"/>
      <c r="O42" s="2124"/>
      <c r="P42" s="3414"/>
      <c r="Q42" s="1556" t="str">
        <f t="shared" si="11"/>
        <v>内部装修</v>
      </c>
      <c r="R42" s="1557" t="s">
        <v>11</v>
      </c>
      <c r="S42" s="1558">
        <f t="shared" si="12"/>
        <v>100</v>
      </c>
      <c r="T42" s="1557" t="s">
        <v>11</v>
      </c>
      <c r="U42" s="1558">
        <f t="shared" si="13"/>
        <v>100</v>
      </c>
      <c r="V42" s="1557" t="s">
        <v>11</v>
      </c>
      <c r="W42" s="1558">
        <f t="shared" si="14"/>
        <v>100</v>
      </c>
      <c r="X42" s="1551"/>
      <c r="Y42" s="3414"/>
      <c r="Z42" s="1559" t="str">
        <f t="shared" si="15"/>
        <v>内部装修</v>
      </c>
      <c r="AA42" s="1560">
        <f t="shared" si="3"/>
        <v>1</v>
      </c>
      <c r="AB42" s="1560">
        <f t="shared" si="4"/>
        <v>1</v>
      </c>
      <c r="AC42" s="1560">
        <f t="shared" si="5"/>
        <v>1</v>
      </c>
    </row>
    <row r="43" spans="1:29" ht="27.75" thickBot="1">
      <c r="A43" s="592"/>
      <c r="B43" s="525" t="s">
        <v>735</v>
      </c>
      <c r="C43" s="597" t="s">
        <v>3179</v>
      </c>
      <c r="D43" s="538">
        <v>100</v>
      </c>
      <c r="E43" s="872" t="s">
        <v>3179</v>
      </c>
      <c r="F43" s="573">
        <f>SUMIF(124:124,E43,125:125)-SUMIF(124:124,C43,125:125)+100</f>
        <v>100</v>
      </c>
      <c r="G43" s="597" t="s">
        <v>3179</v>
      </c>
      <c r="H43" s="538">
        <f>SUMIF(124:124,G43,125:125)-SUMIF(124:124,C43,125:125)+100</f>
        <v>100</v>
      </c>
      <c r="I43" s="872" t="s">
        <v>3179</v>
      </c>
      <c r="J43" s="538">
        <f>SUMIF(124:124,I43,125:125)-SUMIF(124:124,C43,125:125)+100</f>
        <v>100</v>
      </c>
      <c r="K43" s="862">
        <v>1</v>
      </c>
      <c r="L43" s="2125"/>
      <c r="M43" s="2117"/>
      <c r="N43" s="2117"/>
      <c r="O43" s="2124"/>
      <c r="P43" s="3414"/>
      <c r="Q43" s="1556" t="str">
        <f t="shared" si="11"/>
        <v>内部装修维护情况</v>
      </c>
      <c r="R43" s="1557" t="s">
        <v>11</v>
      </c>
      <c r="S43" s="1558">
        <f t="shared" si="12"/>
        <v>100</v>
      </c>
      <c r="T43" s="1557" t="s">
        <v>11</v>
      </c>
      <c r="U43" s="1558">
        <f t="shared" si="13"/>
        <v>100</v>
      </c>
      <c r="V43" s="1557" t="s">
        <v>11</v>
      </c>
      <c r="W43" s="1558">
        <f t="shared" si="14"/>
        <v>100</v>
      </c>
      <c r="X43" s="1551"/>
      <c r="Y43" s="3414"/>
      <c r="Z43" s="1559" t="str">
        <f t="shared" si="15"/>
        <v>内部装修维护情况</v>
      </c>
      <c r="AA43" s="1560">
        <f t="shared" si="3"/>
        <v>1</v>
      </c>
      <c r="AB43" s="1560">
        <f t="shared" si="4"/>
        <v>1</v>
      </c>
      <c r="AC43" s="1560">
        <f t="shared" si="5"/>
        <v>1</v>
      </c>
    </row>
    <row r="44" spans="1:29" s="1213"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8"/>
      <c r="M44" s="2119"/>
      <c r="N44" s="2119"/>
      <c r="O44" s="2120"/>
      <c r="P44" s="3414"/>
      <c r="Q44" s="1144">
        <f t="shared" si="11"/>
        <v>111</v>
      </c>
      <c r="R44" s="1552" t="s">
        <v>11</v>
      </c>
      <c r="S44" s="1553">
        <f t="shared" si="12"/>
        <v>100</v>
      </c>
      <c r="T44" s="1552" t="s">
        <v>11</v>
      </c>
      <c r="U44" s="1553">
        <f t="shared" si="13"/>
        <v>100</v>
      </c>
      <c r="V44" s="1552" t="s">
        <v>11</v>
      </c>
      <c r="W44" s="1553">
        <f t="shared" si="14"/>
        <v>100</v>
      </c>
      <c r="X44" s="1554"/>
      <c r="Y44" s="3414"/>
      <c r="Z44" s="1143">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14"/>
      <c r="Q45" s="1556">
        <f t="shared" si="11"/>
        <v>111</v>
      </c>
      <c r="R45" s="1557" t="s">
        <v>11</v>
      </c>
      <c r="S45" s="1558">
        <f t="shared" si="12"/>
        <v>100</v>
      </c>
      <c r="T45" s="1557" t="s">
        <v>11</v>
      </c>
      <c r="U45" s="1558">
        <f t="shared" si="13"/>
        <v>100</v>
      </c>
      <c r="V45" s="1557" t="s">
        <v>11</v>
      </c>
      <c r="W45" s="1558">
        <f t="shared" si="14"/>
        <v>100</v>
      </c>
      <c r="X45" s="1551"/>
      <c r="Y45" s="3414"/>
      <c r="Z45" s="1559">
        <f t="shared" si="15"/>
        <v>111</v>
      </c>
      <c r="AA45" s="1560">
        <f t="shared" si="3"/>
        <v>1</v>
      </c>
      <c r="AB45" s="1560">
        <f t="shared" si="4"/>
        <v>1</v>
      </c>
      <c r="AC45" s="1560">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472"/>
      <c r="Q46" s="1556">
        <f t="shared" si="11"/>
        <v>111</v>
      </c>
      <c r="R46" s="1557" t="s">
        <v>10</v>
      </c>
      <c r="S46" s="1558">
        <f t="shared" si="12"/>
        <v>100</v>
      </c>
      <c r="T46" s="1557" t="s">
        <v>10</v>
      </c>
      <c r="U46" s="1558">
        <f t="shared" si="13"/>
        <v>100</v>
      </c>
      <c r="V46" s="1557" t="s">
        <v>10</v>
      </c>
      <c r="W46" s="1558">
        <f t="shared" si="14"/>
        <v>100</v>
      </c>
      <c r="X46" s="1551"/>
      <c r="Y46" s="3472"/>
      <c r="Z46" s="1559">
        <f t="shared" si="15"/>
        <v>111</v>
      </c>
      <c r="AA46" s="1560">
        <f t="shared" si="3"/>
        <v>1</v>
      </c>
      <c r="AB46" s="1560">
        <f t="shared" si="4"/>
        <v>1</v>
      </c>
      <c r="AC46" s="1560">
        <f t="shared" si="5"/>
        <v>1</v>
      </c>
    </row>
    <row r="47" spans="1:29" ht="15">
      <c r="A47" s="605" t="s">
        <v>736</v>
      </c>
      <c r="B47" s="884"/>
      <c r="C47" s="2589" t="s">
        <v>9</v>
      </c>
      <c r="D47" s="2590"/>
      <c r="E47" s="2591">
        <v>7748</v>
      </c>
      <c r="F47" s="2592"/>
      <c r="G47" s="2593">
        <v>8091</v>
      </c>
      <c r="H47" s="2594"/>
      <c r="I47" s="2591">
        <v>8621</v>
      </c>
      <c r="J47" s="2594"/>
      <c r="K47" s="1589"/>
      <c r="L47" s="2127"/>
      <c r="M47" s="2128"/>
      <c r="N47" s="2117"/>
      <c r="O47" s="2128"/>
      <c r="P47" s="3375" t="str">
        <f>A47</f>
        <v>成交单价（元/平方米）</v>
      </c>
      <c r="Q47" s="3375"/>
      <c r="R47" s="3471">
        <f>E47</f>
        <v>7748</v>
      </c>
      <c r="S47" s="3471"/>
      <c r="T47" s="3471">
        <f>G47</f>
        <v>8091</v>
      </c>
      <c r="U47" s="3471"/>
      <c r="V47" s="3471">
        <f>I47</f>
        <v>8621</v>
      </c>
      <c r="W47" s="3471"/>
      <c r="X47" s="1543"/>
      <c r="Y47" s="1565"/>
      <c r="Z47" s="1543"/>
      <c r="AA47" s="1543"/>
      <c r="AB47" s="1543"/>
      <c r="AC47" s="1543"/>
    </row>
    <row r="48" spans="1:29" ht="15.75" thickBot="1">
      <c r="A48" s="613" t="s">
        <v>2758</v>
      </c>
      <c r="B48" s="885"/>
      <c r="C48" s="2595">
        <f>R49</f>
        <v>5434</v>
      </c>
      <c r="D48" s="2596"/>
      <c r="E48" s="2597">
        <f>R48</f>
        <v>5130</v>
      </c>
      <c r="F48" s="2597"/>
      <c r="G48" s="2595">
        <f>T48</f>
        <v>5465</v>
      </c>
      <c r="H48" s="2596"/>
      <c r="I48" s="2597">
        <f>V48</f>
        <v>5708</v>
      </c>
      <c r="J48" s="2596"/>
      <c r="K48" s="1590"/>
      <c r="L48" s="2127"/>
      <c r="M48" s="2128"/>
      <c r="N48" s="2128"/>
      <c r="O48" s="2128"/>
      <c r="P48" s="3375" t="str">
        <f>A48</f>
        <v>比较价格（元/平方米）</v>
      </c>
      <c r="Q48" s="3375"/>
      <c r="R48" s="3471">
        <f>IF(F1="售价",ROUND(PRODUCT(R47,AA7:AA46),0),ROUND(PRODUCT(R47,AA7:AA46),1))</f>
        <v>5130</v>
      </c>
      <c r="S48" s="3471"/>
      <c r="T48" s="3471">
        <f>IF(F1="售价",ROUND(PRODUCT(T47,AB7:AB46),0),ROUND(PRODUCT(T47,AB7:AB46),1))</f>
        <v>5465</v>
      </c>
      <c r="U48" s="3471"/>
      <c r="V48" s="3471">
        <f>IF(F1="售价",ROUND(PRODUCT(V47,AC7:AC46),0),ROUND(PRODUCT(V47,AC7:AC46),1))</f>
        <v>5708</v>
      </c>
      <c r="W48" s="3471"/>
      <c r="X48" s="1543"/>
      <c r="Y48" s="1543"/>
      <c r="Z48" s="1543"/>
      <c r="AA48" s="1543"/>
      <c r="AB48" s="1543"/>
      <c r="AC48" s="1543"/>
    </row>
    <row r="49" spans="1:29" ht="15.75" thickBot="1">
      <c r="A49" s="619" t="s">
        <v>2933</v>
      </c>
      <c r="B49" s="620"/>
      <c r="C49" s="2598">
        <f>R49</f>
        <v>5434</v>
      </c>
      <c r="D49" s="2598"/>
      <c r="E49" s="2598"/>
      <c r="F49" s="2598"/>
      <c r="G49" s="2598"/>
      <c r="H49" s="2598"/>
      <c r="I49" s="2598"/>
      <c r="J49" s="2598"/>
      <c r="K49" s="1591"/>
      <c r="L49" s="2127"/>
      <c r="M49" s="2128"/>
      <c r="N49" s="2128"/>
      <c r="O49" s="2128"/>
      <c r="P49" s="3372" t="str">
        <f>A49</f>
        <v>估价对象XX用房的比较价格（楼面单价，元/平方米）</v>
      </c>
      <c r="Q49" s="3373"/>
      <c r="R49" s="3470">
        <f>IF(F1="售价",ROUND(AVERAGE(R48:V48),0),ROUND(AVERAGE(R48:V48),1))</f>
        <v>5434</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0.51033138401559452</v>
      </c>
      <c r="F52" s="625" t="str">
        <f>IF(OR(E52&gt;=0.3,E52&lt;=-0.3),"超过30%","")</f>
        <v>超过30%</v>
      </c>
      <c r="G52" s="624">
        <f>IF(G47&lt;G48,G48/G47-1,G47/G48-1)</f>
        <v>0.48051235132662407</v>
      </c>
      <c r="H52" s="625" t="str">
        <f>IF(OR(G52&gt;=0.3,G52&lt;=-0.3),"超过30%","")</f>
        <v>超过30%</v>
      </c>
      <c r="I52" s="624">
        <f>IF(I47&lt;I48,I48/I47-1,I47/I48-1)</f>
        <v>0.5103363700070076</v>
      </c>
      <c r="J52" s="625" t="str">
        <f>IF(OR(I52&gt;=0.3,I52&lt;=-0.3),"超过30%","")</f>
        <v>超过30%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6.530214424951275E-2</v>
      </c>
      <c r="F53" s="625" t="str">
        <f>IF(OR(E53&gt;=0.2,E53&lt;=-0.2),"超过20%","")</f>
        <v/>
      </c>
      <c r="G53" s="624">
        <f>IF(G48&lt;I48,I48/G48-1,G48/I48-1)</f>
        <v>4.4464775846294602E-2</v>
      </c>
      <c r="H53" s="625" t="str">
        <f>IF(OR(G53&gt;=0.2,G53&lt;=-0.2),"超过20%","")</f>
        <v/>
      </c>
      <c r="I53" s="624">
        <f>IF(I48&lt;E48,E48/I48-1,I48/E48-1)</f>
        <v>0.11267056530214425</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f>IF(E47&lt;G47,G47/E47-1,E47/G47-1)</f>
        <v>4.426948890036142E-2</v>
      </c>
      <c r="F54" s="625" t="str">
        <f>IF(OR(E54&gt;=0.3,E54&lt;=-0.3),"超过30%","")</f>
        <v/>
      </c>
      <c r="G54" s="624">
        <f>IF(G47&lt;I47,I47/G47-1,G47/I47-1)</f>
        <v>6.5504881967618278E-2</v>
      </c>
      <c r="H54" s="625" t="str">
        <f>IF(OR(G54&gt;=0.3,G54&lt;=-0.3),"超过30%","")</f>
        <v/>
      </c>
      <c r="I54" s="624">
        <f>IF(I47&lt;E47,E47/I47-1,I47/E47-1)</f>
        <v>0.11267423851316472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95</v>
      </c>
      <c r="E77" s="677">
        <f>D77-$K15</f>
        <v>90</v>
      </c>
      <c r="F77" s="677">
        <f>E77-$K15</f>
        <v>85</v>
      </c>
      <c r="G77" s="677">
        <f>F77-$K15</f>
        <v>80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95</v>
      </c>
      <c r="E79" s="677">
        <f>D79-$K17</f>
        <v>90</v>
      </c>
      <c r="F79" s="677">
        <f>E79-$K17</f>
        <v>85</v>
      </c>
      <c r="G79" s="677">
        <f>F79-$K17</f>
        <v>80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2555</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96</v>
      </c>
      <c r="E81" s="677">
        <f>D81-$K19</f>
        <v>92</v>
      </c>
      <c r="F81" s="677">
        <f>E81-$K19</f>
        <v>88</v>
      </c>
      <c r="G81" s="677">
        <f>F81-$K19</f>
        <v>84</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2556</v>
      </c>
      <c r="C82" s="2560" t="s">
        <v>2557</v>
      </c>
      <c r="D82" s="2560" t="s">
        <v>2558</v>
      </c>
      <c r="E82" s="2560" t="s">
        <v>2559</v>
      </c>
      <c r="F82" s="2560" t="s">
        <v>2560</v>
      </c>
      <c r="G82" s="2560" t="s">
        <v>2561</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2"/>
      <c r="I83" s="932"/>
      <c r="J83" s="932"/>
      <c r="K83" s="932"/>
      <c r="L83" s="932"/>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95</v>
      </c>
      <c r="E85" s="677">
        <f>D85-$K23</f>
        <v>90</v>
      </c>
      <c r="F85" s="677">
        <f>E85-$K23</f>
        <v>85</v>
      </c>
      <c r="G85" s="677">
        <f>F85-$K23</f>
        <v>80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1879" t="s">
        <v>2256</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
        <v>746</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t="str">
        <f>B27</f>
        <v>道路级别</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747</v>
      </c>
      <c r="C100" s="3195" t="s">
        <v>3199</v>
      </c>
      <c r="D100" s="3195" t="s">
        <v>3200</v>
      </c>
      <c r="E100" s="3195" t="s">
        <v>3201</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748</v>
      </c>
      <c r="C102" s="706" t="str">
        <f>C103&amp;"(含)"&amp;"-"&amp;D103</f>
        <v>0(含)-100000</v>
      </c>
      <c r="D102" s="706" t="str">
        <f t="shared" ref="D102:L102" si="23">D103&amp;"(含)"&amp;"-"&amp;E103</f>
        <v>100000(含)-200000</v>
      </c>
      <c r="E102" s="706" t="str">
        <f t="shared" si="23"/>
        <v>200000(含)-500000</v>
      </c>
      <c r="F102" s="706" t="str">
        <f t="shared" si="23"/>
        <v>500000(含)-1000000</v>
      </c>
      <c r="G102" s="706" t="str">
        <f t="shared" si="23"/>
        <v>1000000(含)-1500000</v>
      </c>
      <c r="H102" s="706" t="str">
        <f t="shared" si="23"/>
        <v>1500000(含)-</v>
      </c>
      <c r="I102" s="706" t="str">
        <f t="shared" si="23"/>
        <v>(含)-</v>
      </c>
      <c r="J102" s="706" t="str">
        <f t="shared" si="23"/>
        <v>(含)-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v>0</v>
      </c>
      <c r="D103" s="728">
        <v>100000</v>
      </c>
      <c r="E103" s="728">
        <v>200000</v>
      </c>
      <c r="F103" s="728">
        <v>500000</v>
      </c>
      <c r="G103" s="728">
        <v>1000000</v>
      </c>
      <c r="H103" s="728">
        <v>1500000</v>
      </c>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v>100</v>
      </c>
      <c r="D104" s="669">
        <v>102</v>
      </c>
      <c r="E104" s="669">
        <v>104</v>
      </c>
      <c r="F104" s="669">
        <v>106</v>
      </c>
      <c r="G104" s="669">
        <v>108</v>
      </c>
      <c r="H104" s="669">
        <v>110</v>
      </c>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t="s">
        <v>3181</v>
      </c>
      <c r="D105" s="686" t="s">
        <v>3182</v>
      </c>
      <c r="E105" s="716" t="s">
        <v>3183</v>
      </c>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716" t="s">
        <v>3184</v>
      </c>
      <c r="D107" s="716" t="s">
        <v>3185</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686" t="s">
        <v>3186</v>
      </c>
      <c r="D109" s="686" t="s">
        <v>3187</v>
      </c>
      <c r="E109" s="686" t="s">
        <v>3188</v>
      </c>
      <c r="F109" s="716" t="s">
        <v>3189</v>
      </c>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6"/>
      <c r="B112" s="679"/>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753</v>
      </c>
      <c r="C114" s="686" t="s">
        <v>3190</v>
      </c>
      <c r="D114" s="686" t="s">
        <v>3191</v>
      </c>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2554</v>
      </c>
      <c r="C116" s="686" t="s">
        <v>3192</v>
      </c>
      <c r="D116" s="686" t="s">
        <v>3193</v>
      </c>
      <c r="E116" s="686" t="s">
        <v>3194</v>
      </c>
      <c r="F116" s="686" t="s">
        <v>3195</v>
      </c>
      <c r="G116" s="686" t="s">
        <v>3196</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754</v>
      </c>
      <c r="C118" s="716" t="s">
        <v>3197</v>
      </c>
      <c r="D118" s="716" t="s">
        <v>3198</v>
      </c>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6"/>
      <c r="B120" s="671" t="s">
        <v>733</v>
      </c>
      <c r="C120" s="686"/>
      <c r="D120" s="686"/>
      <c r="E120" s="686"/>
      <c r="F120" s="686"/>
      <c r="G120" s="686"/>
      <c r="H120" s="686"/>
      <c r="I120" s="686"/>
      <c r="J120" s="686"/>
      <c r="K120" s="686"/>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t="s">
        <v>3186</v>
      </c>
      <c r="D122" s="686" t="s">
        <v>3187</v>
      </c>
      <c r="E122" s="686" t="s">
        <v>3188</v>
      </c>
      <c r="F122" s="716" t="s">
        <v>3189</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99</v>
      </c>
      <c r="E123" s="677">
        <f t="shared" si="29"/>
        <v>98</v>
      </c>
      <c r="F123" s="677">
        <f t="shared" si="29"/>
        <v>97</v>
      </c>
      <c r="G123" s="677">
        <f t="shared" si="29"/>
        <v>96</v>
      </c>
      <c r="H123" s="677">
        <f t="shared" si="29"/>
        <v>95</v>
      </c>
      <c r="I123" s="677">
        <f t="shared" si="29"/>
        <v>94</v>
      </c>
      <c r="J123" s="677">
        <f t="shared" si="29"/>
        <v>93</v>
      </c>
      <c r="K123" s="677">
        <f t="shared" si="29"/>
        <v>92</v>
      </c>
      <c r="L123" s="677">
        <f t="shared" si="29"/>
        <v>91</v>
      </c>
      <c r="M123" s="677">
        <f t="shared" si="29"/>
        <v>90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7"/>
  <sheetViews>
    <sheetView workbookViewId="0">
      <selection activeCell="J87" sqref="J87"/>
    </sheetView>
  </sheetViews>
  <sheetFormatPr defaultRowHeight="13.5"/>
  <cols>
    <col min="2" max="2" width="24.125" customWidth="1"/>
    <col min="3" max="3" width="29.375" customWidth="1"/>
    <col min="4" max="5" width="10.625" customWidth="1"/>
    <col min="6" max="6" width="10.5" customWidth="1"/>
    <col min="7" max="7" width="14.375" customWidth="1"/>
    <col min="8" max="8" width="11" customWidth="1"/>
  </cols>
  <sheetData>
    <row r="1" spans="2:8">
      <c r="B1" s="3180" t="s">
        <v>3003</v>
      </c>
      <c r="C1" s="3180" t="s">
        <v>3004</v>
      </c>
      <c r="D1" s="3180" t="s">
        <v>3006</v>
      </c>
      <c r="E1" s="3180" t="s">
        <v>3008</v>
      </c>
      <c r="F1" s="3180" t="s">
        <v>3010</v>
      </c>
      <c r="G1" s="3180" t="s">
        <v>3012</v>
      </c>
      <c r="H1" s="3180" t="s">
        <v>3013</v>
      </c>
    </row>
    <row r="2" spans="2:8">
      <c r="B2" s="3180" t="s">
        <v>3002</v>
      </c>
      <c r="C2" s="3180" t="s">
        <v>3005</v>
      </c>
      <c r="D2" s="3180" t="s">
        <v>3007</v>
      </c>
      <c r="E2" s="3180" t="s">
        <v>3009</v>
      </c>
      <c r="F2" s="3180" t="s">
        <v>3011</v>
      </c>
      <c r="G2">
        <v>320191.09999999998</v>
      </c>
      <c r="H2" s="3181">
        <v>57080</v>
      </c>
    </row>
    <row r="5" spans="2:8">
      <c r="B5" s="3180" t="s">
        <v>3014</v>
      </c>
    </row>
    <row r="6" spans="2:8">
      <c r="B6" s="3180" t="s">
        <v>3209</v>
      </c>
      <c r="C6">
        <f>G2*0.4*2.2</f>
        <v>281768.16800000001</v>
      </c>
    </row>
    <row r="7" spans="2:8">
      <c r="B7" s="3180" t="s">
        <v>3210</v>
      </c>
      <c r="C7">
        <f>G2*0.6*2.2</f>
        <v>422652.25199999998</v>
      </c>
    </row>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5" sqref="G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2996</v>
      </c>
      <c r="D1" s="3075" t="s">
        <v>952</v>
      </c>
      <c r="E1" s="2349" t="s">
        <v>2372</v>
      </c>
      <c r="F1" s="2350">
        <f ca="1">J53</f>
        <v>36.75</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1726</v>
      </c>
      <c r="B2" s="773">
        <f ca="1">C40+J29+L46</f>
        <v>146224</v>
      </c>
      <c r="C2" s="2040"/>
      <c r="D2" s="2038"/>
      <c r="E2" s="2039"/>
      <c r="F2" s="2039"/>
      <c r="G2" s="1574"/>
      <c r="H2" s="2040"/>
      <c r="I2" s="2040"/>
      <c r="J2" s="2040"/>
      <c r="K2" s="2041"/>
      <c r="L2" s="2040"/>
      <c r="M2" s="2040"/>
    </row>
    <row r="3" spans="1:33" ht="18" customHeight="1" thickBot="1">
      <c r="A3" s="831" t="s">
        <v>1727</v>
      </c>
      <c r="B3" s="832">
        <f ca="1">IF(ISERROR(B2*10000/F43),0,ROUND(B2*10000/F43,0))</f>
        <v>5190</v>
      </c>
      <c r="C3" s="2040"/>
      <c r="D3" s="2038"/>
      <c r="E3" s="2039"/>
      <c r="F3" s="2039"/>
      <c r="G3" s="1574"/>
      <c r="H3" s="774" t="s">
        <v>695</v>
      </c>
      <c r="I3" s="1356"/>
      <c r="J3" s="1356"/>
      <c r="K3" s="1575"/>
      <c r="L3" s="1356"/>
      <c r="M3" s="1356"/>
    </row>
    <row r="4" spans="1:33" ht="18" customHeight="1">
      <c r="A4" s="775" t="s">
        <v>1728</v>
      </c>
      <c r="B4" s="776" t="s">
        <v>1729</v>
      </c>
      <c r="C4" s="776" t="s">
        <v>1730</v>
      </c>
      <c r="D4" s="776" t="s">
        <v>633</v>
      </c>
      <c r="E4" s="777" t="s">
        <v>1731</v>
      </c>
      <c r="F4" s="778"/>
      <c r="G4" s="1576"/>
      <c r="H4" s="775" t="s">
        <v>1732</v>
      </c>
      <c r="I4" s="776" t="s">
        <v>1733</v>
      </c>
      <c r="J4" s="776" t="s">
        <v>1734</v>
      </c>
      <c r="K4" s="776" t="s">
        <v>1735</v>
      </c>
      <c r="L4" s="777" t="s">
        <v>1736</v>
      </c>
      <c r="M4" s="778"/>
    </row>
    <row r="5" spans="1:33" ht="18" customHeight="1">
      <c r="A5" s="779">
        <v>1</v>
      </c>
      <c r="B5" s="780" t="s">
        <v>2456</v>
      </c>
      <c r="C5" s="55">
        <f ca="1">C6+C10+C12</f>
        <v>8764</v>
      </c>
      <c r="D5" s="2458" t="s">
        <v>2459</v>
      </c>
      <c r="E5" s="2452"/>
      <c r="F5" s="2453"/>
      <c r="G5" s="1576"/>
      <c r="H5" s="779">
        <v>1</v>
      </c>
      <c r="I5" s="780" t="s">
        <v>2456</v>
      </c>
      <c r="J5" s="55">
        <f ca="1">J6+J10+J12</f>
        <v>0</v>
      </c>
      <c r="K5" s="2458" t="s">
        <v>2459</v>
      </c>
      <c r="L5" s="2452"/>
      <c r="M5" s="2453"/>
    </row>
    <row r="6" spans="1:33" ht="18" customHeight="1">
      <c r="A6" s="1813" t="s">
        <v>1824</v>
      </c>
      <c r="B6" s="3464" t="s">
        <v>2461</v>
      </c>
      <c r="C6" s="781">
        <f ca="1">ROUND(F6*F8*F7*(1-F9)/10000,0)</f>
        <v>8742</v>
      </c>
      <c r="D6" s="2459" t="s">
        <v>2460</v>
      </c>
      <c r="E6" s="782" t="s">
        <v>1738</v>
      </c>
      <c r="F6" s="783">
        <f ca="1">INDIRECT("'数据-取费表'!u"&amp;$G$1)</f>
        <v>1</v>
      </c>
      <c r="G6" s="1576"/>
      <c r="H6" s="2466" t="s">
        <v>2466</v>
      </c>
      <c r="I6" s="3464" t="s">
        <v>2461</v>
      </c>
      <c r="J6" s="781">
        <f ca="1">ROUND(M6*M8*M7*(1-M9)/10000,0)</f>
        <v>0</v>
      </c>
      <c r="K6" s="339" t="s">
        <v>1737</v>
      </c>
      <c r="L6" s="782" t="s">
        <v>1738</v>
      </c>
      <c r="M6" s="783">
        <f ca="1">INDIRECT("'数据-取费表'!z"&amp;$G$1)</f>
        <v>0</v>
      </c>
    </row>
    <row r="7" spans="1:33" ht="18" customHeight="1">
      <c r="A7" s="2462"/>
      <c r="B7" s="3465"/>
      <c r="C7" s="786"/>
      <c r="D7" s="787"/>
      <c r="E7" s="782" t="s">
        <v>1739</v>
      </c>
      <c r="F7" s="783">
        <f ca="1">IF(INDIRECT("'数据-取费表'!ah"&amp;$G$1)="",INDIRECT("'数据-取费表'!k"&amp;$G$1),INDIRECT("'数据-取费表'!ah"&amp;$G$1))</f>
        <v>281768.16800000001</v>
      </c>
      <c r="G7" s="1576"/>
      <c r="H7" s="2451"/>
      <c r="I7" s="3465"/>
      <c r="J7" s="786"/>
      <c r="K7" s="787"/>
      <c r="L7" s="782" t="s">
        <v>1739</v>
      </c>
      <c r="M7" s="783">
        <f ca="1">F7</f>
        <v>281768.16800000001</v>
      </c>
    </row>
    <row r="8" spans="1:33" ht="18" customHeight="1">
      <c r="A8" s="2455"/>
      <c r="B8" s="3466"/>
      <c r="C8" s="786"/>
      <c r="D8" s="787"/>
      <c r="E8" s="782" t="s">
        <v>1740</v>
      </c>
      <c r="F8" s="783">
        <f ca="1">INDIRECT("'数据-取费表'!ai"&amp;$G$1)</f>
        <v>365</v>
      </c>
      <c r="G8" s="1576"/>
      <c r="H8" s="2451"/>
      <c r="I8" s="3466"/>
      <c r="J8" s="786"/>
      <c r="K8" s="787"/>
      <c r="L8" s="782" t="s">
        <v>1740</v>
      </c>
      <c r="M8" s="783">
        <f ca="1">INDIRECT("'数据-取费表'!ai"&amp;$G$1)</f>
        <v>365</v>
      </c>
    </row>
    <row r="9" spans="1:33" ht="18" customHeight="1">
      <c r="A9" s="784"/>
      <c r="B9" s="3467"/>
      <c r="C9" s="786"/>
      <c r="D9" s="787"/>
      <c r="E9" s="782" t="s">
        <v>1741</v>
      </c>
      <c r="F9" s="792">
        <f ca="1">INDIRECT("'数据-取费表'!w"&amp;$G$1)</f>
        <v>0.15</v>
      </c>
      <c r="G9" s="1576"/>
      <c r="H9" s="2467"/>
      <c r="I9" s="3466"/>
      <c r="J9" s="786"/>
      <c r="K9" s="787"/>
      <c r="L9" s="793" t="s">
        <v>1741</v>
      </c>
      <c r="M9" s="794">
        <f ca="1">INDIRECT("'数据-取费表'!ab"&amp;$G$1)</f>
        <v>0</v>
      </c>
    </row>
    <row r="10" spans="1:33" ht="18" customHeight="1">
      <c r="A10" s="1813" t="s">
        <v>2464</v>
      </c>
      <c r="B10" s="2456" t="s">
        <v>2457</v>
      </c>
      <c r="C10" s="797">
        <f ca="1">ROUND(IF(F10="押一",C6/12*F11,IF(F10="押二",C6/12*2*F11,IF(F10="押三",C6/12*3*F11,C11*F11))),0)</f>
        <v>22</v>
      </c>
      <c r="D10" s="2463" t="s">
        <v>2971</v>
      </c>
      <c r="E10" s="2460" t="s">
        <v>2462</v>
      </c>
      <c r="F10" s="2583" t="s">
        <v>3167</v>
      </c>
      <c r="G10" s="1576"/>
      <c r="H10" s="2523" t="s">
        <v>2467</v>
      </c>
      <c r="I10" s="2528" t="s">
        <v>2457</v>
      </c>
      <c r="J10" s="781">
        <f ca="1">ROUND(IF(M10="押一",J6/12*M11,IF(M10="押二",J6/12*2*M11,IF(M10="押三",J6/12*3*M11,J11*M11))),0)</f>
        <v>0</v>
      </c>
      <c r="K10" s="2463" t="s">
        <v>2971</v>
      </c>
      <c r="L10" s="2460" t="s">
        <v>2462</v>
      </c>
      <c r="M10" s="2583"/>
    </row>
    <row r="11" spans="1:33" ht="18" customHeight="1">
      <c r="A11" s="788"/>
      <c r="B11" s="2457" t="s">
        <v>2571</v>
      </c>
      <c r="C11" s="2461"/>
      <c r="D11" s="787"/>
      <c r="E11" s="2460" t="s">
        <v>2463</v>
      </c>
      <c r="F11" s="794">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0">
        <f ca="1">ROUND(C29*F13,0)</f>
        <v>101939</v>
      </c>
      <c r="D13" s="1817" t="s">
        <v>2296</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61989</v>
      </c>
      <c r="D14" s="1962" t="s">
        <v>1745</v>
      </c>
      <c r="E14" s="1963"/>
      <c r="F14" s="803"/>
      <c r="G14" s="1576"/>
      <c r="H14" s="1632" t="s">
        <v>1830</v>
      </c>
      <c r="I14" s="2214" t="s">
        <v>2824</v>
      </c>
      <c r="J14" s="53">
        <f ca="1">C29</f>
        <v>101939</v>
      </c>
      <c r="K14" s="26"/>
      <c r="L14" s="799"/>
      <c r="M14" s="800"/>
    </row>
    <row r="15" spans="1:33" s="2047" customFormat="1" ht="18" customHeight="1" thickBot="1">
      <c r="A15" s="1631" t="s">
        <v>1885</v>
      </c>
      <c r="B15" s="782" t="s">
        <v>647</v>
      </c>
      <c r="C15" s="53">
        <f ca="1">ROUND(C14*F15,0)</f>
        <v>3099</v>
      </c>
      <c r="D15" s="804" t="s">
        <v>1746</v>
      </c>
      <c r="E15" s="804" t="s">
        <v>1747</v>
      </c>
      <c r="F15" s="805">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1747</v>
      </c>
      <c r="F16" s="807">
        <f ca="1">IF(INDIRECT("'数据-取费表'!c"&amp;$G$1)="住宅",'数据-取费表'!B34,0)</f>
        <v>0</v>
      </c>
      <c r="G16" s="1576"/>
      <c r="H16" s="1812" t="s">
        <v>1748</v>
      </c>
      <c r="I16" s="1810" t="s">
        <v>1749</v>
      </c>
      <c r="J16" s="790">
        <f ca="1">ROUND(J17+J22+J23+J24,0)</f>
        <v>10684</v>
      </c>
      <c r="K16" s="1804" t="s">
        <v>1750</v>
      </c>
      <c r="L16" s="2448"/>
      <c r="M16" s="2453"/>
    </row>
    <row r="17" spans="1:33" s="2047" customFormat="1" ht="18" customHeight="1">
      <c r="A17" s="1631" t="s">
        <v>1887</v>
      </c>
      <c r="B17" s="782" t="s">
        <v>653</v>
      </c>
      <c r="C17" s="53">
        <f ca="1">ROUND(F17*(F43+INDIRECT("'数据-取费表'!S"&amp;$G$1))/10000,0)</f>
        <v>5635</v>
      </c>
      <c r="D17" s="782" t="s">
        <v>1751</v>
      </c>
      <c r="E17" s="782" t="s">
        <v>1752</v>
      </c>
      <c r="F17" s="56">
        <f>'数据-取费表'!B35</f>
        <v>200</v>
      </c>
      <c r="G17" s="1577"/>
      <c r="H17" s="1632" t="s">
        <v>1830</v>
      </c>
      <c r="I17" s="782" t="s">
        <v>656</v>
      </c>
      <c r="J17" s="53">
        <f ca="1">ROUND(IF(项目基本情况!B11="自然人",J5*M17,J18+J19+J20),0)</f>
        <v>8645</v>
      </c>
      <c r="K17" s="2447" t="s">
        <v>1753</v>
      </c>
      <c r="L17" s="2446" t="s">
        <v>1754</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930</v>
      </c>
      <c r="D18" s="782" t="s">
        <v>1746</v>
      </c>
      <c r="E18" s="782" t="s">
        <v>1747</v>
      </c>
      <c r="F18" s="807">
        <f>'数据-取费表'!B36</f>
        <v>1.4999999999999999E-2</v>
      </c>
      <c r="G18" s="1577"/>
      <c r="H18" s="1631" t="s">
        <v>1884</v>
      </c>
      <c r="I18" s="782" t="s">
        <v>1755</v>
      </c>
      <c r="J18" s="53">
        <f ca="1">ROUND(J5*M18/1.05,1)</f>
        <v>0</v>
      </c>
      <c r="K18" s="2446" t="s">
        <v>1756</v>
      </c>
      <c r="L18" s="782" t="s">
        <v>1747</v>
      </c>
      <c r="M18" s="807">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2" t="s">
        <v>662</v>
      </c>
      <c r="C19" s="53">
        <f ca="1">SUM(C14:C18)</f>
        <v>71653</v>
      </c>
      <c r="D19" s="259" t="s">
        <v>1757</v>
      </c>
      <c r="E19" s="1965"/>
      <c r="F19" s="56"/>
      <c r="G19" s="1576"/>
      <c r="H19" s="1631" t="s">
        <v>1885</v>
      </c>
      <c r="I19" s="782" t="s">
        <v>1758</v>
      </c>
      <c r="J19" s="53">
        <f ca="1">IF(K19="按租金收入计税",ROUND(J5*M19,1),ROUND(C29*F33*0.7,1))</f>
        <v>8562.9</v>
      </c>
      <c r="K19" s="809" t="s">
        <v>665</v>
      </c>
      <c r="L19" s="782" t="s">
        <v>1747</v>
      </c>
      <c r="M19" s="807">
        <f>IF(K19="按租金收入计税",'数据-取费表'!B51,'数据-取费表'!B50)</f>
        <v>1.2E-2</v>
      </c>
    </row>
    <row r="20" spans="1:33" s="2047" customFormat="1" ht="18" customHeight="1">
      <c r="A20" s="1632" t="s">
        <v>1889</v>
      </c>
      <c r="B20" s="782" t="s">
        <v>666</v>
      </c>
      <c r="C20" s="53">
        <f ca="1">ROUND(C19*F20,0)</f>
        <v>1433</v>
      </c>
      <c r="D20" s="810" t="s">
        <v>1759</v>
      </c>
      <c r="E20" s="782" t="s">
        <v>1747</v>
      </c>
      <c r="F20" s="807">
        <f>'数据-取费表'!B37</f>
        <v>0.02</v>
      </c>
      <c r="G20" s="1577"/>
      <c r="H20" s="1634" t="s">
        <v>1880</v>
      </c>
      <c r="I20" s="339" t="s">
        <v>1760</v>
      </c>
      <c r="J20" s="54">
        <f ca="1">ROUND(M20*M21/10000,0)</f>
        <v>82</v>
      </c>
      <c r="K20" s="812" t="s">
        <v>1761</v>
      </c>
      <c r="L20" s="782" t="s">
        <v>1762</v>
      </c>
      <c r="M20" s="638">
        <f>'数据-取费表'!B52</f>
        <v>6.4</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1763</v>
      </c>
      <c r="C21" s="53" t="s">
        <v>1764</v>
      </c>
      <c r="D21" s="810" t="s">
        <v>2297</v>
      </c>
      <c r="E21" s="782" t="s">
        <v>1765</v>
      </c>
      <c r="F21" s="807">
        <f>'数据-取费表'!B38</f>
        <v>0.02</v>
      </c>
      <c r="G21" s="1577"/>
      <c r="H21" s="2468"/>
      <c r="I21" s="791"/>
      <c r="J21" s="69"/>
      <c r="K21" s="814"/>
      <c r="L21" s="782" t="s">
        <v>1766</v>
      </c>
      <c r="M21" s="783">
        <f ca="1">INDIRECT("'数据-取费表'!r"&amp;$G$1)</f>
        <v>128076.44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1965"/>
      <c r="F22" s="56"/>
      <c r="G22" s="1576"/>
      <c r="H22" s="1632" t="s">
        <v>1889</v>
      </c>
      <c r="I22" s="782" t="s">
        <v>1768</v>
      </c>
      <c r="J22" s="53">
        <f ca="1">ROUND(J14*M22,0)</f>
        <v>2039</v>
      </c>
      <c r="K22" s="2446" t="s">
        <v>1769</v>
      </c>
      <c r="L22" s="782" t="s">
        <v>1747</v>
      </c>
      <c r="M22" s="815">
        <f ca="1">INDIRECT("'数据-取费表'!Ak"&amp;$G$1)</f>
        <v>0.02</v>
      </c>
    </row>
    <row r="23" spans="1:33" s="2047" customFormat="1" ht="18" customHeight="1">
      <c r="A23" s="1631" t="s">
        <v>1831</v>
      </c>
      <c r="B23" s="782" t="s">
        <v>2533</v>
      </c>
      <c r="C23" s="53">
        <f ca="1">ROUND(IF('数据-取费表'!B22&lt;=1,(C19+C20)*F24*F23/2,(C19+C20)*(POWER((1+F24),F23/2)-1)),0)</f>
        <v>6183</v>
      </c>
      <c r="D23" s="2533" t="str">
        <f>IF(F23&lt;=1,"(建造成本+管理费用)×利率×(建设周期÷2)","(建造成本+管理费用)×((1+利率)^(建设周期÷2)-1)")</f>
        <v>(建造成本+管理费用)×((1+利率)^(建设周期÷2)-1)</v>
      </c>
      <c r="E23" s="782" t="s">
        <v>1770</v>
      </c>
      <c r="F23" s="638">
        <f>'数据-取费表'!B20</f>
        <v>3.5</v>
      </c>
      <c r="G23" s="1577"/>
      <c r="H23" s="1632" t="s">
        <v>1890</v>
      </c>
      <c r="I23" s="782" t="s">
        <v>679</v>
      </c>
      <c r="J23" s="53">
        <f ca="1">ROUND(J13*M23,0)</f>
        <v>0</v>
      </c>
      <c r="K23" s="2446" t="s">
        <v>1771</v>
      </c>
      <c r="L23" s="782" t="s">
        <v>1747</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1772</v>
      </c>
      <c r="C24" s="53">
        <f ca="1">ROUND(IF('数据-取费表'!B22&lt;=1,F21*F24*F23/2,F21*(POWER((1+F24),F23/2)-1)),4)</f>
        <v>1.6999999999999999E-3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1774</v>
      </c>
      <c r="L24" s="2508" t="s">
        <v>1747</v>
      </c>
      <c r="M24" s="2504">
        <f ca="1">INDIRECT("'数据-取费表'!Am"&amp;$G$1)</f>
        <v>1.4999999999999999E-2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1965"/>
      <c r="F25" s="56"/>
      <c r="G25" s="1576"/>
      <c r="H25" s="1812" t="s">
        <v>1776</v>
      </c>
      <c r="I25" s="2960" t="s">
        <v>2820</v>
      </c>
      <c r="J25" s="790">
        <f ca="1">J5-J16</f>
        <v>-10684</v>
      </c>
      <c r="K25" s="2510" t="s">
        <v>1777</v>
      </c>
      <c r="L25" s="2511"/>
      <c r="M25" s="2512"/>
    </row>
    <row r="26" spans="1:33" ht="18" customHeight="1">
      <c r="A26" s="1631" t="s">
        <v>1831</v>
      </c>
      <c r="B26" s="782" t="s">
        <v>2436</v>
      </c>
      <c r="C26" s="53">
        <f ca="1">ROUND((C19+C20)*F26,0)</f>
        <v>14617</v>
      </c>
      <c r="D26" s="810" t="s">
        <v>1778</v>
      </c>
      <c r="E26" s="793" t="s">
        <v>1779</v>
      </c>
      <c r="F26" s="792">
        <f ca="1">INDIRECT("'数据-取费表'!q"&amp;$G$1)</f>
        <v>0.2</v>
      </c>
      <c r="G26" s="1576"/>
      <c r="H26" s="2464" t="s">
        <v>1780</v>
      </c>
      <c r="I26" s="2215" t="s">
        <v>2825</v>
      </c>
      <c r="J26" s="781">
        <f ca="1">IF(J5&lt;&gt;0,ROUND(J25*(1-((1+M28)/(1+M26))^M27)/(M26-M28),0),0)</f>
        <v>0</v>
      </c>
      <c r="K26" s="812" t="s">
        <v>1781</v>
      </c>
      <c r="L26" s="782" t="s">
        <v>2417</v>
      </c>
      <c r="M26" s="792">
        <f ca="1">INDIRECT("'数据-取费表'!I"&amp;$G$1)</f>
        <v>5.5E-2</v>
      </c>
    </row>
    <row r="27" spans="1:33" ht="18" customHeight="1">
      <c r="A27" s="1631" t="s">
        <v>1832</v>
      </c>
      <c r="B27" s="782" t="s">
        <v>686</v>
      </c>
      <c r="C27" s="53">
        <f ca="1">ROUND(F21*F26,4)</f>
        <v>4.0000000000000001E-3</v>
      </c>
      <c r="D27" s="810" t="s">
        <v>1782</v>
      </c>
      <c r="E27" s="804"/>
      <c r="F27" s="805"/>
      <c r="G27" s="1576"/>
      <c r="H27" s="2465"/>
      <c r="I27" s="785"/>
      <c r="J27" s="786"/>
      <c r="K27" s="819" t="s">
        <v>1783</v>
      </c>
      <c r="L27" s="782" t="s">
        <v>1784</v>
      </c>
      <c r="M27" s="820">
        <f ca="1">INDIRECT("'数据-取费表'!ag"&amp;$G$1)</f>
        <v>0</v>
      </c>
    </row>
    <row r="28" spans="1:33" s="2047" customFormat="1" ht="18" customHeight="1">
      <c r="A28" s="1633" t="s">
        <v>1841</v>
      </c>
      <c r="B28" s="782" t="s">
        <v>687</v>
      </c>
      <c r="C28" s="53">
        <f>ROUND(F28/(1+'数据-取费表'!C42),4)</f>
        <v>5.33E-2</v>
      </c>
      <c r="D28" s="810" t="s">
        <v>2298</v>
      </c>
      <c r="E28" s="782" t="s">
        <v>1785</v>
      </c>
      <c r="F28" s="807">
        <f>'数据-取费表'!B41</f>
        <v>5.6000000000000001E-2</v>
      </c>
      <c r="G28" s="1577"/>
      <c r="H28" s="1812"/>
      <c r="I28" s="789"/>
      <c r="J28" s="790"/>
      <c r="K28" s="814"/>
      <c r="L28" s="782" t="s">
        <v>1786</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101939</v>
      </c>
      <c r="D29" s="2507"/>
      <c r="E29" s="2508"/>
      <c r="F29" s="2509"/>
      <c r="G29" s="1577"/>
      <c r="H29" s="821" t="s">
        <v>1787</v>
      </c>
      <c r="I29" s="822" t="s">
        <v>1788</v>
      </c>
      <c r="J29" s="823">
        <f ca="1">ROUND(J26/(1+F40)^F41,0)</f>
        <v>0</v>
      </c>
      <c r="K29" s="824" t="s">
        <v>1789</v>
      </c>
      <c r="L29" s="825"/>
      <c r="M29" s="826">
        <f ca="1">INDIRECT("'数据-取费表'!k"&amp;$G$1)</f>
        <v>281768.16800000001</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0">
        <f ca="1">ROUND(C31+C36+C37+C38,0)</f>
        <v>3924</v>
      </c>
      <c r="D30" s="1804" t="s">
        <v>1791</v>
      </c>
      <c r="E30" s="2448"/>
      <c r="F30" s="2453"/>
      <c r="G30" s="2045"/>
      <c r="H30" s="2048"/>
      <c r="I30" s="2049"/>
      <c r="J30" s="2050"/>
      <c r="K30" s="2051"/>
      <c r="L30" s="2052"/>
      <c r="M30" s="2053"/>
    </row>
    <row r="31" spans="1:33" ht="18" customHeight="1">
      <c r="A31" s="1632" t="s">
        <v>1830</v>
      </c>
      <c r="B31" s="782" t="s">
        <v>656</v>
      </c>
      <c r="C31" s="53">
        <f ca="1">ROUND(IF(项目基本情况!B11="自然人",C5*F31,C32+C33+C34),1)</f>
        <v>1601.1</v>
      </c>
      <c r="D31" s="1962" t="s">
        <v>1792</v>
      </c>
      <c r="E31" s="1960"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1794</v>
      </c>
      <c r="C32" s="53">
        <f ca="1">ROUND(C5*F32/1.05,1)</f>
        <v>467.4</v>
      </c>
      <c r="D32" s="1960" t="s">
        <v>1795</v>
      </c>
      <c r="E32" s="782" t="s">
        <v>1796</v>
      </c>
      <c r="F32" s="807">
        <f>'数据-取费表'!B41</f>
        <v>5.6000000000000001E-2</v>
      </c>
      <c r="G32" s="2045"/>
      <c r="H32" s="2054"/>
      <c r="I32" s="2055"/>
      <c r="J32" s="2056"/>
      <c r="K32" s="2057"/>
      <c r="L32" s="2058"/>
      <c r="M32" s="2059"/>
    </row>
    <row r="33" spans="1:18" ht="18" customHeight="1">
      <c r="A33" s="1631" t="s">
        <v>1832</v>
      </c>
      <c r="B33" s="782" t="s">
        <v>1797</v>
      </c>
      <c r="C33" s="53">
        <f ca="1">IF(D33="按租金收入计税",ROUND(C5*F33,1),IF(D33="按房产原值计税",ROUND(C29*F33*0.7,1),INDIRECT("'数据-取费表'!Aj"&amp;$G$1)))</f>
        <v>1051.7</v>
      </c>
      <c r="D33" s="809" t="s">
        <v>3168</v>
      </c>
      <c r="E33" s="782" t="s">
        <v>1796</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82</v>
      </c>
      <c r="D34" s="812" t="s">
        <v>1799</v>
      </c>
      <c r="E34" s="782" t="s">
        <v>1800</v>
      </c>
      <c r="F34" s="638">
        <f>'数据-取费表'!B52</f>
        <v>6.4</v>
      </c>
      <c r="G34" s="2045"/>
      <c r="H34" s="2048"/>
      <c r="I34" s="833" t="s">
        <v>1813</v>
      </c>
      <c r="J34" s="834"/>
      <c r="K34" s="2063"/>
      <c r="L34" s="2062"/>
      <c r="M34" s="2062"/>
    </row>
    <row r="35" spans="1:18" ht="18" customHeight="1">
      <c r="A35" s="813"/>
      <c r="B35" s="791"/>
      <c r="C35" s="69"/>
      <c r="D35" s="814"/>
      <c r="E35" s="782" t="s">
        <v>1801</v>
      </c>
      <c r="F35" s="783">
        <f ca="1">INDIRECT("'数据-取费表'!r"&amp;$G$1)</f>
        <v>128076.44</v>
      </c>
      <c r="G35" s="2045"/>
      <c r="H35" s="2048"/>
      <c r="I35" s="835" t="s">
        <v>1814</v>
      </c>
      <c r="J35" s="836">
        <f ca="1">ROUND(C13*J36,0)</f>
        <v>8665</v>
      </c>
      <c r="K35" s="2061"/>
      <c r="L35" s="2060"/>
      <c r="M35" s="2060"/>
    </row>
    <row r="36" spans="1:18" ht="18" customHeight="1">
      <c r="A36" s="1632" t="s">
        <v>1889</v>
      </c>
      <c r="B36" s="782" t="s">
        <v>1802</v>
      </c>
      <c r="C36" s="53">
        <f ca="1">ROUND(C29*F36,1)</f>
        <v>2038.8</v>
      </c>
      <c r="D36" s="1960" t="s">
        <v>1803</v>
      </c>
      <c r="E36" s="782" t="s">
        <v>1796</v>
      </c>
      <c r="F36" s="815">
        <f ca="1">INDIRECT("'数据-取费表'!Ak"&amp;$G$1)</f>
        <v>0.02</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152.9</v>
      </c>
      <c r="D37" s="1960" t="s">
        <v>1804</v>
      </c>
      <c r="E37" s="782" t="s">
        <v>1796</v>
      </c>
      <c r="F37" s="816">
        <f ca="1">INDIRECT("'数据-取费表'!Al"&amp;$G$1)</f>
        <v>1.5E-3</v>
      </c>
      <c r="G37" s="2045"/>
      <c r="H37" s="2060"/>
      <c r="I37" s="839" t="s">
        <v>1816</v>
      </c>
      <c r="J37" s="840"/>
      <c r="K37" s="2065"/>
      <c r="L37" s="2060"/>
      <c r="M37" s="2060"/>
    </row>
    <row r="38" spans="1:18" ht="18" customHeight="1" thickBot="1">
      <c r="A38" s="2513" t="s">
        <v>1891</v>
      </c>
      <c r="B38" s="2508" t="s">
        <v>666</v>
      </c>
      <c r="C38" s="2506">
        <f ca="1">ROUND(C5*F38,1)</f>
        <v>131.5</v>
      </c>
      <c r="D38" s="2507" t="s">
        <v>1805</v>
      </c>
      <c r="E38" s="2508" t="s">
        <v>1796</v>
      </c>
      <c r="F38" s="2504">
        <f ca="1">INDIRECT("'数据-取费表'!Am"&amp;$G$1)</f>
        <v>1.4999999999999999E-2</v>
      </c>
      <c r="G38" s="2045"/>
      <c r="H38" s="2060"/>
      <c r="I38" s="841" t="s">
        <v>1817</v>
      </c>
      <c r="J38" s="842"/>
      <c r="K38" s="2066"/>
      <c r="L38" s="2060"/>
      <c r="M38" s="2060"/>
    </row>
    <row r="39" spans="1:18" ht="24.6" customHeight="1" thickTop="1">
      <c r="A39" s="1812" t="s">
        <v>1894</v>
      </c>
      <c r="B39" s="2960" t="s">
        <v>2820</v>
      </c>
      <c r="C39" s="790">
        <f ca="1">C5-C30</f>
        <v>4840</v>
      </c>
      <c r="D39" s="2510" t="s">
        <v>1806</v>
      </c>
      <c r="E39" s="2511"/>
      <c r="F39" s="2512"/>
      <c r="G39" s="2045"/>
      <c r="H39" s="2060"/>
      <c r="I39" s="835" t="s">
        <v>1818</v>
      </c>
      <c r="J39" s="843">
        <f ca="1">ROUND(J35/C39,3)</f>
        <v>1.79</v>
      </c>
      <c r="K39" s="2066"/>
      <c r="L39" s="2060"/>
      <c r="M39" s="2060"/>
    </row>
    <row r="40" spans="1:18" ht="18" customHeight="1">
      <c r="A40" s="779" t="s">
        <v>1895</v>
      </c>
      <c r="B40" s="2215" t="s">
        <v>2300</v>
      </c>
      <c r="C40" s="781">
        <f ca="1">ROUND(C39*(1-((1+F42)/(1+F40))^F41)/(F40-F42),0)</f>
        <v>105448</v>
      </c>
      <c r="D40" s="812" t="s">
        <v>1807</v>
      </c>
      <c r="E40" s="782" t="s">
        <v>2417</v>
      </c>
      <c r="F40" s="792">
        <f ca="1">INDIRECT("'数据-取费表'!I"&amp;$G$1)</f>
        <v>5.5E-2</v>
      </c>
      <c r="G40" s="2045"/>
      <c r="H40" s="2045"/>
      <c r="I40" s="835" t="s">
        <v>1819</v>
      </c>
      <c r="J40" s="843">
        <f ca="1">1-J39</f>
        <v>-0.79</v>
      </c>
      <c r="K40" s="2066"/>
      <c r="L40" s="2045"/>
      <c r="M40" s="2045"/>
    </row>
    <row r="41" spans="1:18" ht="18" customHeight="1">
      <c r="A41" s="784"/>
      <c r="B41" s="785"/>
      <c r="C41" s="786"/>
      <c r="D41" s="819" t="s">
        <v>1808</v>
      </c>
      <c r="E41" s="782" t="s">
        <v>2961</v>
      </c>
      <c r="F41" s="820">
        <f ca="1">IF(INDIRECT("'数据-取费表'!af"&amp;$G$1)=0,INDIRECT("'数据-取费表'!ae"&amp;$G$1),INDIRECT("'数据-取费表'!af"&amp;$G$1))</f>
        <v>36.75</v>
      </c>
      <c r="G41" s="2045"/>
      <c r="H41" s="1971"/>
      <c r="I41" s="841" t="s">
        <v>1820</v>
      </c>
      <c r="J41" s="844"/>
      <c r="K41" s="2065"/>
      <c r="L41" s="1971"/>
      <c r="M41" s="1971"/>
    </row>
    <row r="42" spans="1:18" ht="18" customHeight="1">
      <c r="A42" s="788"/>
      <c r="B42" s="789"/>
      <c r="C42" s="790"/>
      <c r="D42" s="814"/>
      <c r="E42" s="782" t="s">
        <v>1809</v>
      </c>
      <c r="F42" s="792">
        <f ca="1">INDIRECT("'数据-取费表'!v"&amp;$G$1)</f>
        <v>2.5000000000000001E-2</v>
      </c>
      <c r="G42" s="2045"/>
      <c r="H42" s="1971"/>
      <c r="I42" s="845" t="s">
        <v>1821</v>
      </c>
      <c r="J42" s="843">
        <f ca="1">ROUND(C13/C40,3)</f>
        <v>0.96699999999999997</v>
      </c>
      <c r="K42" s="2065"/>
      <c r="L42" s="1971"/>
      <c r="M42" s="1971"/>
    </row>
    <row r="43" spans="1:18" ht="18" customHeight="1" thickBot="1">
      <c r="A43" s="821" t="s">
        <v>1787</v>
      </c>
      <c r="B43" s="822" t="s">
        <v>1810</v>
      </c>
      <c r="C43" s="823">
        <f ca="1">ROUND(C40*10000/F43,0)</f>
        <v>3742</v>
      </c>
      <c r="D43" s="824" t="s">
        <v>1811</v>
      </c>
      <c r="E43" s="825" t="s">
        <v>1812</v>
      </c>
      <c r="F43" s="826">
        <f ca="1">INDIRECT("'数据-取费表'!k"&amp;$G$1)</f>
        <v>281768.16800000001</v>
      </c>
      <c r="G43" s="2045"/>
      <c r="H43" s="1971"/>
      <c r="I43" s="845" t="s">
        <v>1822</v>
      </c>
      <c r="J43" s="846">
        <f ca="1">1-J42</f>
        <v>3.3000000000000029E-2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-141014</v>
      </c>
      <c r="D46" s="2068"/>
      <c r="E46" s="2068"/>
      <c r="F46" s="2068"/>
      <c r="I46" s="2340" t="s">
        <v>2341</v>
      </c>
      <c r="J46" s="2341"/>
      <c r="K46" s="2342"/>
      <c r="L46" s="3107">
        <f ca="1">IF(OR(M47="住宅",D1="土地（套用方法）"),0,IF(L48&gt;J51,L60,J60))</f>
        <v>40776</v>
      </c>
      <c r="O46" s="2356" t="s">
        <v>2408</v>
      </c>
      <c r="P46" s="1576"/>
      <c r="Q46" s="1587"/>
      <c r="R46" s="1576"/>
    </row>
    <row r="47" spans="1:18" s="2042" customFormat="1" ht="18" customHeight="1" thickBot="1">
      <c r="A47" s="2334">
        <v>1</v>
      </c>
      <c r="B47" s="2335" t="s">
        <v>635</v>
      </c>
      <c r="C47" s="2536">
        <f ca="1">C48+C52+C54</f>
        <v>0</v>
      </c>
      <c r="D47" s="2068"/>
      <c r="E47" s="2068"/>
      <c r="F47" s="2068"/>
      <c r="I47" s="3097" t="s">
        <v>2342</v>
      </c>
      <c r="J47" s="2343" t="s">
        <v>3169</v>
      </c>
      <c r="K47" s="3104" t="s">
        <v>2347</v>
      </c>
      <c r="L47" s="3108">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2295</v>
      </c>
      <c r="F48" s="2339"/>
      <c r="G48" s="2073"/>
      <c r="I48" s="3076" t="s">
        <v>2343</v>
      </c>
      <c r="J48" s="2344" t="s">
        <v>2348</v>
      </c>
      <c r="K48" s="3105" t="s">
        <v>2349</v>
      </c>
      <c r="L48" s="1891">
        <f ca="1">INDIRECT("'数据-取费表'!f"&amp;$G$1)</f>
        <v>36.75</v>
      </c>
      <c r="O48" s="2360" t="s">
        <v>2377</v>
      </c>
      <c r="P48" s="2361" t="s">
        <v>2403</v>
      </c>
      <c r="Q48" s="2362">
        <f ca="1">C40+J29</f>
        <v>105448</v>
      </c>
      <c r="R48" s="2361" t="s">
        <v>2378</v>
      </c>
    </row>
    <row r="49" spans="1:18" s="2042" customFormat="1" ht="18" customHeight="1" thickBot="1">
      <c r="A49" s="784"/>
      <c r="B49" s="785"/>
      <c r="C49" s="786"/>
      <c r="D49" s="787"/>
      <c r="E49" s="782" t="s">
        <v>1739</v>
      </c>
      <c r="F49" s="783">
        <f ca="1">F7</f>
        <v>281768.16800000001</v>
      </c>
      <c r="G49" s="2073"/>
      <c r="H49" s="2076"/>
      <c r="I49" s="3076" t="s">
        <v>2344</v>
      </c>
      <c r="J49" s="2345"/>
      <c r="K49" s="3106" t="s">
        <v>2350</v>
      </c>
      <c r="L49" s="2346"/>
      <c r="O49" s="2360" t="s">
        <v>2379</v>
      </c>
      <c r="P49" s="2361" t="s">
        <v>2404</v>
      </c>
      <c r="Q49" s="2362">
        <f ca="1">J60</f>
        <v>40776</v>
      </c>
      <c r="R49" s="2361" t="s">
        <v>2380</v>
      </c>
    </row>
    <row r="50" spans="1:18" s="2042" customFormat="1" ht="18" customHeight="1" thickBot="1">
      <c r="A50" s="784"/>
      <c r="B50" s="785"/>
      <c r="C50" s="786"/>
      <c r="D50" s="787"/>
      <c r="E50" s="782" t="s">
        <v>1740</v>
      </c>
      <c r="F50" s="783">
        <f ca="1">F8</f>
        <v>365</v>
      </c>
      <c r="G50" s="2078"/>
      <c r="H50" s="2076"/>
      <c r="I50" s="3076" t="s">
        <v>2345</v>
      </c>
      <c r="J50" s="3101">
        <f>SUMPRODUCT((I63:I65=J47)*(J62:L62=J48)*(J63:L65))</f>
        <v>60</v>
      </c>
      <c r="K50" s="3106" t="s">
        <v>2351</v>
      </c>
      <c r="L50" s="2346"/>
      <c r="O50" s="2363" t="s">
        <v>2381</v>
      </c>
      <c r="P50" s="2361" t="s">
        <v>2405</v>
      </c>
      <c r="Q50" s="2362">
        <f ca="1">C29</f>
        <v>101939</v>
      </c>
      <c r="R50" s="2361" t="s">
        <v>2378</v>
      </c>
    </row>
    <row r="51" spans="1:18" s="2042" customFormat="1" ht="18" customHeight="1" thickBot="1">
      <c r="A51" s="784"/>
      <c r="B51" s="785"/>
      <c r="C51" s="786"/>
      <c r="D51" s="787"/>
      <c r="E51" s="782" t="s">
        <v>640</v>
      </c>
      <c r="F51" s="2333"/>
      <c r="H51" s="2076"/>
      <c r="I51" s="3098" t="s">
        <v>2346</v>
      </c>
      <c r="J51" s="3102">
        <f>IF(J49="",J50,J49+J50-YEAR('数据-取费表'!B2))</f>
        <v>60</v>
      </c>
      <c r="K51" s="3076" t="s">
        <v>2352</v>
      </c>
      <c r="L51" s="3109">
        <f ca="1">ROUND(-PV(INDIRECT("'数据-取费表'!h"&amp;$G$1),L48,(C39-C13*J36),0),0)</f>
        <v>-63763</v>
      </c>
      <c r="O51" s="2363" t="s">
        <v>2382</v>
      </c>
      <c r="P51" s="2361" t="s">
        <v>2383</v>
      </c>
      <c r="Q51" s="2364">
        <f ca="1">J58</f>
        <v>0.4</v>
      </c>
      <c r="R51" s="2365"/>
    </row>
    <row r="52" spans="1:18" s="2042" customFormat="1" ht="18" customHeight="1" thickBot="1">
      <c r="A52" s="779" t="s">
        <v>2534</v>
      </c>
      <c r="B52" s="2456" t="s">
        <v>2457</v>
      </c>
      <c r="C52" s="797">
        <f ca="1">ROUND(IF(F52="押一",C48/12*F11,IF(F52="押二",C48/12*2*F11,IF(F52="押三",C48/12*3*F11,C53*F11))),0)</f>
        <v>0</v>
      </c>
      <c r="D52" s="2463" t="s">
        <v>2972</v>
      </c>
      <c r="E52" s="2460" t="s">
        <v>2462</v>
      </c>
      <c r="F52" s="2583"/>
      <c r="I52" s="3099" t="s">
        <v>2419</v>
      </c>
      <c r="J52" s="2347"/>
      <c r="K52" s="3099" t="s">
        <v>2418</v>
      </c>
      <c r="L52" s="2347"/>
      <c r="O52" s="2363" t="s">
        <v>2384</v>
      </c>
      <c r="P52" s="2361" t="s">
        <v>2385</v>
      </c>
      <c r="Q52" s="2364">
        <f>J52</f>
        <v>0</v>
      </c>
      <c r="R52" s="2365"/>
    </row>
    <row r="53" spans="1:18" s="2042" customFormat="1" ht="39.75" customHeight="1" thickBot="1">
      <c r="A53" s="784"/>
      <c r="B53" s="2457" t="s">
        <v>2571</v>
      </c>
      <c r="C53" s="2461"/>
      <c r="D53" s="2463"/>
      <c r="E53" s="2460"/>
      <c r="F53" s="798"/>
      <c r="I53" s="3100" t="s">
        <v>2975</v>
      </c>
      <c r="J53" s="3103">
        <f ca="1">IF(M47="住宅",IF(D1="——",MAX(J51,L48),MAX(J51,L48-'数据-取费表'!B20)),IF(D1="——",MIN(J51,L48),MIN(J51,L48-'数据-取费表'!B20)))</f>
        <v>36.75</v>
      </c>
      <c r="K53" s="3476" t="s">
        <v>2963</v>
      </c>
      <c r="L53" s="3477"/>
      <c r="O53" s="2363" t="s">
        <v>2386</v>
      </c>
      <c r="P53" s="2361" t="s">
        <v>2387</v>
      </c>
      <c r="Q53" s="2362">
        <f ca="1">J53</f>
        <v>36.75</v>
      </c>
      <c r="R53" s="2361" t="s">
        <v>2388</v>
      </c>
    </row>
    <row r="54" spans="1:18" s="2042" customFormat="1" ht="18" customHeight="1" thickBot="1">
      <c r="A54" s="2499" t="s">
        <v>2465</v>
      </c>
      <c r="B54" s="2500" t="s">
        <v>2458</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146224</v>
      </c>
      <c r="R54" s="2365" t="s">
        <v>2390</v>
      </c>
    </row>
    <row r="55" spans="1:18" s="2042" customFormat="1" ht="18" customHeight="1" thickTop="1" thickBot="1">
      <c r="A55" s="795">
        <v>2</v>
      </c>
      <c r="B55" s="796" t="s">
        <v>644</v>
      </c>
      <c r="C55" s="797">
        <f ca="1">C13</f>
        <v>101939</v>
      </c>
      <c r="D55" s="793"/>
      <c r="E55" s="793"/>
      <c r="F55" s="798"/>
      <c r="I55" s="3112" t="s">
        <v>2353</v>
      </c>
      <c r="J55" s="3051">
        <f ca="1">ROUND(IF(J47="钢混",J57/J50,1-(1-2%)*(J50-J57)/J50),3)</f>
        <v>0.38800000000000001</v>
      </c>
      <c r="K55" s="3113" t="s">
        <v>2354</v>
      </c>
      <c r="L55" s="2348"/>
      <c r="O55" s="2366" t="s">
        <v>2409</v>
      </c>
      <c r="P55" s="1576"/>
      <c r="Q55" s="1587"/>
      <c r="R55" s="1576"/>
    </row>
    <row r="56" spans="1:18" s="2042" customFormat="1" ht="42.75" customHeight="1" thickBot="1">
      <c r="A56" s="1633"/>
      <c r="B56" s="2214" t="s">
        <v>2301</v>
      </c>
      <c r="C56" s="53">
        <f ca="1">C29</f>
        <v>101939</v>
      </c>
      <c r="D56" s="2601"/>
      <c r="E56" s="782"/>
      <c r="F56" s="807"/>
      <c r="I56" s="3114" t="s">
        <v>2355</v>
      </c>
      <c r="J56" s="3124"/>
      <c r="K56" s="3076" t="s">
        <v>2360</v>
      </c>
      <c r="L56" s="1891" t="str">
        <f ca="1">IF(L48&lt;J51,"——",L48-J51)</f>
        <v>——</v>
      </c>
      <c r="O56" s="2357" t="s">
        <v>2373</v>
      </c>
      <c r="P56" s="2358" t="s">
        <v>2374</v>
      </c>
      <c r="Q56" s="2359" t="s">
        <v>2375</v>
      </c>
      <c r="R56" s="2358" t="s">
        <v>2376</v>
      </c>
    </row>
    <row r="57" spans="1:18" s="2042" customFormat="1" ht="28.5" customHeight="1" thickBot="1">
      <c r="A57" s="795" t="s">
        <v>1748</v>
      </c>
      <c r="B57" s="796" t="s">
        <v>651</v>
      </c>
      <c r="C57" s="797">
        <f ca="1">ROUND(C58+C63+C64+C65,0)</f>
        <v>2274</v>
      </c>
      <c r="D57" s="26" t="s">
        <v>1750</v>
      </c>
      <c r="E57" s="2602"/>
      <c r="F57" s="56"/>
      <c r="I57" s="3115" t="s">
        <v>2356</v>
      </c>
      <c r="J57" s="3116">
        <f ca="1">IF(OR(M47="住宅",J51&lt;L48,J56="是"),"——",J51-L48)</f>
        <v>23.25</v>
      </c>
      <c r="K57" s="3076" t="s">
        <v>2361</v>
      </c>
      <c r="L57" s="1891" t="str">
        <f ca="1">IF(L48&lt;J51,"——",IF(L55="比较法",L49,IF(L55="基准地价",L50,L51)))</f>
        <v>——</v>
      </c>
      <c r="O57" s="2360" t="s">
        <v>2377</v>
      </c>
      <c r="P57" s="2361" t="s">
        <v>2407</v>
      </c>
      <c r="Q57" s="2362">
        <f ca="1">C40+J29</f>
        <v>105448</v>
      </c>
      <c r="R57" s="2361" t="s">
        <v>2378</v>
      </c>
    </row>
    <row r="58" spans="1:18" s="2042" customFormat="1" ht="28.5" customHeight="1" thickBot="1">
      <c r="A58" s="1632" t="s">
        <v>1824</v>
      </c>
      <c r="B58" s="782" t="s">
        <v>656</v>
      </c>
      <c r="C58" s="53">
        <f ca="1">ROUND(IF(项目基本情况!B11="自然人",C47*F58,C59+C60+C61),1)</f>
        <v>82</v>
      </c>
      <c r="D58" s="2600" t="s">
        <v>657</v>
      </c>
      <c r="E58" s="2601" t="s">
        <v>690</v>
      </c>
      <c r="F58" s="808" t="str">
        <f ca="1">IF(项目基本情况!B11="企业","",IF(INDIRECT("'数据-取费表'!c"&amp;$G$1)="住宅",5%,IF(F48*F49*F50/12/(1+'数据-取费表'!C42)&gt;20000,12%,7%)))</f>
        <v/>
      </c>
      <c r="I58" s="3115" t="s">
        <v>2357</v>
      </c>
      <c r="J58" s="3052">
        <f ca="1">IF(J55&lt;0.4,0.4,J55)</f>
        <v>0.4</v>
      </c>
      <c r="K58" s="3076"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2" t="s">
        <v>660</v>
      </c>
      <c r="C59" s="53">
        <f ca="1">ROUND(C47*F59/1.05,1)</f>
        <v>0</v>
      </c>
      <c r="D59" s="2601" t="s">
        <v>1756</v>
      </c>
      <c r="E59" s="782" t="s">
        <v>1747</v>
      </c>
      <c r="F59" s="807">
        <f t="shared" ref="F59:F65" si="0">F32</f>
        <v>5.6000000000000001E-2</v>
      </c>
      <c r="I59" s="3115" t="s">
        <v>2358</v>
      </c>
      <c r="J59" s="3116">
        <f ca="1">IF(OR(M47="住宅",J51&lt;L48,J56="是"),"——",ROUND(C29*J58,0))</f>
        <v>40776</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2" t="s">
        <v>1758</v>
      </c>
      <c r="C60" s="53">
        <f ca="1">IF(D60="按租金收入计税",ROUND(C47*F60,1),IF(D60="按房产原值计税",ROUND(C56*F60*0.7,1),INDIRECT("'数据-取费表'!Aj"&amp;$G$1)))</f>
        <v>0</v>
      </c>
      <c r="D60" s="2601" t="str">
        <f>D33</f>
        <v>按租金收入计税</v>
      </c>
      <c r="E60" s="782" t="s">
        <v>1747</v>
      </c>
      <c r="F60" s="807">
        <f t="shared" si="0"/>
        <v>0.12</v>
      </c>
      <c r="I60" s="3117" t="s">
        <v>2359</v>
      </c>
      <c r="J60" s="3118">
        <f ca="1">IF(OR(M47="住宅",J51&lt;L48,J56="是"),"0",ROUND(J59/(1+J52)^J53,0))</f>
        <v>40776</v>
      </c>
      <c r="K60" s="3119" t="s">
        <v>2364</v>
      </c>
      <c r="L60" s="3118">
        <f ca="1">IF(OR(M47="住宅",L48&lt;J51),0,ROUND(L57*(L58/L59-1),0))</f>
        <v>0</v>
      </c>
      <c r="O60" s="2363" t="s">
        <v>2382</v>
      </c>
      <c r="P60" s="2361" t="s">
        <v>2391</v>
      </c>
      <c r="Q60" s="2364">
        <f>L52</f>
        <v>0</v>
      </c>
      <c r="R60" s="2365"/>
    </row>
    <row r="61" spans="1:18" s="2042" customFormat="1" ht="18" customHeight="1" thickBot="1">
      <c r="A61" s="1634" t="s">
        <v>1833</v>
      </c>
      <c r="B61" s="339" t="s">
        <v>668</v>
      </c>
      <c r="C61" s="54">
        <f ca="1">ROUND(F61*F62/10000,1)</f>
        <v>82</v>
      </c>
      <c r="D61" s="812" t="s">
        <v>669</v>
      </c>
      <c r="E61" s="782" t="s">
        <v>670</v>
      </c>
      <c r="F61" s="638">
        <f t="shared" si="0"/>
        <v>6.4</v>
      </c>
      <c r="K61" s="2069"/>
      <c r="O61" s="2363" t="s">
        <v>2384</v>
      </c>
      <c r="P61" s="2361" t="s">
        <v>2392</v>
      </c>
      <c r="Q61" s="2362" t="e">
        <f ca="1">L58</f>
        <v>#DIV/0!</v>
      </c>
      <c r="R61" s="2365" t="s">
        <v>2393</v>
      </c>
    </row>
    <row r="62" spans="1:18" s="2042" customFormat="1" ht="15.75" thickBot="1">
      <c r="A62" s="813"/>
      <c r="B62" s="791"/>
      <c r="C62" s="69"/>
      <c r="D62" s="814"/>
      <c r="E62" s="782" t="s">
        <v>674</v>
      </c>
      <c r="F62" s="783">
        <f t="shared" ca="1" si="0"/>
        <v>128076.44</v>
      </c>
      <c r="I62" s="3120" t="s">
        <v>2365</v>
      </c>
      <c r="J62" s="3121" t="s">
        <v>2366</v>
      </c>
      <c r="K62" s="3121" t="s">
        <v>2367</v>
      </c>
      <c r="L62" s="3121" t="s">
        <v>2348</v>
      </c>
      <c r="M62" s="3122" t="s">
        <v>2940</v>
      </c>
      <c r="O62" s="2363" t="s">
        <v>2386</v>
      </c>
      <c r="P62" s="2361" t="str">
        <f>K59</f>
        <v>建筑物剩余耐用年限下的土地年期修正系数Kn</v>
      </c>
      <c r="Q62" s="2362" t="e">
        <f ca="1">L59</f>
        <v>#DIV/0!</v>
      </c>
      <c r="R62" s="2365" t="s">
        <v>2395</v>
      </c>
    </row>
    <row r="63" spans="1:18" s="2042" customFormat="1" ht="15.75" thickBot="1">
      <c r="A63" s="1632" t="s">
        <v>1889</v>
      </c>
      <c r="B63" s="782" t="s">
        <v>676</v>
      </c>
      <c r="C63" s="53">
        <f ca="1">ROUND(C56*F63,1)</f>
        <v>2038.8</v>
      </c>
      <c r="D63" s="2601" t="s">
        <v>1803</v>
      </c>
      <c r="E63" s="782" t="s">
        <v>1747</v>
      </c>
      <c r="F63" s="815">
        <f t="shared" ca="1" si="0"/>
        <v>0.02</v>
      </c>
      <c r="I63" s="3120" t="s">
        <v>2368</v>
      </c>
      <c r="J63" s="3121">
        <v>70</v>
      </c>
      <c r="K63" s="3121">
        <v>50</v>
      </c>
      <c r="L63" s="3121">
        <v>80</v>
      </c>
      <c r="M63" s="3123">
        <v>0.02</v>
      </c>
      <c r="O63" s="2360" t="s">
        <v>2389</v>
      </c>
      <c r="P63" s="2361" t="s">
        <v>2406</v>
      </c>
      <c r="Q63" s="2362">
        <f ca="1">Q57+Q58</f>
        <v>105448</v>
      </c>
      <c r="R63" s="2365" t="s">
        <v>2390</v>
      </c>
    </row>
    <row r="64" spans="1:18" s="2042" customFormat="1" ht="16.5" thickBot="1">
      <c r="A64" s="1632" t="s">
        <v>1890</v>
      </c>
      <c r="B64" s="782" t="s">
        <v>679</v>
      </c>
      <c r="C64" s="53">
        <f ca="1">ROUND(C55*F64,1)</f>
        <v>152.9</v>
      </c>
      <c r="D64" s="2601" t="s">
        <v>680</v>
      </c>
      <c r="E64" s="782" t="s">
        <v>1747</v>
      </c>
      <c r="F64" s="816">
        <f t="shared" ca="1" si="0"/>
        <v>1.5E-3</v>
      </c>
      <c r="I64" s="3120" t="s">
        <v>2369</v>
      </c>
      <c r="J64" s="3121">
        <v>50</v>
      </c>
      <c r="K64" s="3121">
        <v>35</v>
      </c>
      <c r="L64" s="3121">
        <v>60</v>
      </c>
      <c r="M64" s="844">
        <v>0</v>
      </c>
      <c r="O64" s="2366" t="s">
        <v>2413</v>
      </c>
      <c r="P64" s="1576"/>
      <c r="Q64" s="1587"/>
      <c r="R64" s="1576"/>
    </row>
    <row r="65" spans="1:18" s="2042" customFormat="1" ht="15.75" thickBot="1">
      <c r="A65" s="1632" t="s">
        <v>1891</v>
      </c>
      <c r="B65" s="782" t="s">
        <v>666</v>
      </c>
      <c r="C65" s="53">
        <f ca="1">ROUND(C47*F65,1)</f>
        <v>0</v>
      </c>
      <c r="D65" s="2601" t="s">
        <v>683</v>
      </c>
      <c r="E65" s="782" t="s">
        <v>1747</v>
      </c>
      <c r="F65" s="792">
        <f t="shared" ca="1" si="0"/>
        <v>1.4999999999999999E-2</v>
      </c>
      <c r="I65" s="3120" t="s">
        <v>2370</v>
      </c>
      <c r="J65" s="3121">
        <v>40</v>
      </c>
      <c r="K65" s="3121">
        <v>30</v>
      </c>
      <c r="L65" s="3121">
        <v>50</v>
      </c>
      <c r="M65" s="3123">
        <v>0.02</v>
      </c>
      <c r="O65" s="2357" t="s">
        <v>2373</v>
      </c>
      <c r="P65" s="2358" t="s">
        <v>2374</v>
      </c>
      <c r="Q65" s="2359" t="s">
        <v>2375</v>
      </c>
      <c r="R65" s="2358" t="s">
        <v>2376</v>
      </c>
    </row>
    <row r="66" spans="1:18" s="2042" customFormat="1" ht="24.75" thickBot="1">
      <c r="A66" s="795" t="s">
        <v>1776</v>
      </c>
      <c r="B66" s="2961" t="s">
        <v>2820</v>
      </c>
      <c r="C66" s="797">
        <f ca="1">C47-C57</f>
        <v>-2274</v>
      </c>
      <c r="D66" s="2600" t="s">
        <v>700</v>
      </c>
      <c r="E66" s="2599"/>
      <c r="F66" s="818"/>
      <c r="K66" s="2069"/>
      <c r="O66" s="2360" t="s">
        <v>2377</v>
      </c>
      <c r="P66" s="2361" t="s">
        <v>2407</v>
      </c>
      <c r="Q66" s="2362">
        <f ca="1">C40+J29</f>
        <v>105448</v>
      </c>
      <c r="R66" s="2361" t="s">
        <v>2378</v>
      </c>
    </row>
    <row r="67" spans="1:18" s="2042" customFormat="1" ht="20.25" thickBot="1">
      <c r="A67" s="779" t="s">
        <v>1780</v>
      </c>
      <c r="B67" s="2215" t="s">
        <v>2300</v>
      </c>
      <c r="C67" s="781">
        <f ca="1">ROUND(C66*(1-((1+F69)/(1+F67))^F68)/(F67-F69),0)</f>
        <v>-35566</v>
      </c>
      <c r="D67" s="812" t="s">
        <v>704</v>
      </c>
      <c r="E67" s="782" t="s">
        <v>705</v>
      </c>
      <c r="F67" s="792">
        <f ca="1">F40</f>
        <v>5.5E-2</v>
      </c>
      <c r="K67" s="2069"/>
      <c r="O67" s="2360" t="s">
        <v>2379</v>
      </c>
      <c r="P67" s="2361" t="s">
        <v>2410</v>
      </c>
      <c r="Q67" s="2362">
        <f ca="1">L60</f>
        <v>0</v>
      </c>
      <c r="R67" s="2365" t="s">
        <v>2412</v>
      </c>
    </row>
    <row r="68" spans="1:18" ht="21.75" thickBot="1">
      <c r="A68" s="784"/>
      <c r="B68" s="785"/>
      <c r="C68" s="786"/>
      <c r="D68" s="819" t="s">
        <v>1808</v>
      </c>
      <c r="E68" s="782" t="s">
        <v>1784</v>
      </c>
      <c r="F68" s="820">
        <f ca="1">F41</f>
        <v>36.75</v>
      </c>
      <c r="O68" s="2363" t="s">
        <v>2381</v>
      </c>
      <c r="P68" s="2361" t="s">
        <v>2411</v>
      </c>
      <c r="Q68" s="2367">
        <f ca="1">L51</f>
        <v>-63763</v>
      </c>
      <c r="R68" s="2368" t="s">
        <v>2414</v>
      </c>
    </row>
    <row r="69" spans="1:18" ht="20.25" thickBot="1">
      <c r="A69" s="788"/>
      <c r="B69" s="789"/>
      <c r="C69" s="790"/>
      <c r="D69" s="814"/>
      <c r="E69" s="782" t="s">
        <v>710</v>
      </c>
      <c r="F69" s="2333"/>
      <c r="O69" s="2363" t="s">
        <v>2382</v>
      </c>
      <c r="P69" s="2369" t="s">
        <v>2396</v>
      </c>
      <c r="Q69" s="2362">
        <f ca="1">ROUND(Q70-Q71*Q72,0)</f>
        <v>-3825</v>
      </c>
      <c r="R69" s="2365"/>
    </row>
    <row r="70" spans="1:18" ht="15.75" thickBot="1">
      <c r="A70" s="821" t="s">
        <v>1787</v>
      </c>
      <c r="B70" s="822" t="s">
        <v>1810</v>
      </c>
      <c r="C70" s="823">
        <f ca="1">ROUND(C67*10000/F70,0)</f>
        <v>-1262</v>
      </c>
      <c r="D70" s="824" t="s">
        <v>1811</v>
      </c>
      <c r="E70" s="825" t="s">
        <v>1812</v>
      </c>
      <c r="F70" s="826">
        <f ca="1">F43</f>
        <v>281768.16800000001</v>
      </c>
      <c r="O70" s="2363" t="s">
        <v>2397</v>
      </c>
      <c r="P70" s="2369" t="s">
        <v>2398</v>
      </c>
      <c r="Q70" s="2362">
        <f ca="1">C39</f>
        <v>4840</v>
      </c>
      <c r="R70" s="2361" t="s">
        <v>2378</v>
      </c>
    </row>
    <row r="71" spans="1:18" ht="15.75" thickBot="1">
      <c r="O71" s="2363" t="s">
        <v>2399</v>
      </c>
      <c r="P71" s="2369" t="s">
        <v>2400</v>
      </c>
      <c r="Q71" s="2362">
        <f ca="1">C13</f>
        <v>101939</v>
      </c>
      <c r="R71" s="2361" t="s">
        <v>2378</v>
      </c>
    </row>
    <row r="72" spans="1:18" ht="15.75" thickBot="1">
      <c r="O72" s="2363" t="s">
        <v>2401</v>
      </c>
      <c r="P72" s="2369" t="s">
        <v>2402</v>
      </c>
      <c r="Q72" s="2364">
        <f ca="1">J36</f>
        <v>8.5000000000000006E-2</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建筑物剩余耐用年限下的土地年期修正系数Kn</v>
      </c>
      <c r="Q75" s="2362" t="e">
        <f ca="1">L59</f>
        <v>#DIV/0!</v>
      </c>
      <c r="R75" s="2365" t="s">
        <v>2395</v>
      </c>
    </row>
    <row r="76" spans="1:18" ht="15.75" thickBot="1">
      <c r="O76" s="2360" t="s">
        <v>2389</v>
      </c>
      <c r="P76" s="2361" t="s">
        <v>2406</v>
      </c>
      <c r="Q76" s="2362">
        <f ca="1">Q66+Q67</f>
        <v>105448</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2469</v>
      </c>
      <c r="B1" s="3479"/>
      <c r="C1" s="3480"/>
      <c r="D1" s="3481">
        <f>SUM(I10,I15,I20,I21,I23)</f>
        <v>0</v>
      </c>
      <c r="E1" s="3481"/>
      <c r="F1" s="3481"/>
      <c r="G1" s="3481"/>
      <c r="H1" s="3481"/>
      <c r="I1" s="3482"/>
    </row>
    <row r="2" spans="1:9">
      <c r="A2" s="3483" t="s">
        <v>2470</v>
      </c>
      <c r="B2" s="3484" t="s">
        <v>2471</v>
      </c>
      <c r="C2" s="3484"/>
      <c r="D2" s="2469" t="s">
        <v>2472</v>
      </c>
      <c r="E2" s="2469" t="s">
        <v>2473</v>
      </c>
      <c r="F2" s="2469" t="s">
        <v>2474</v>
      </c>
      <c r="G2" s="2469" t="s">
        <v>2475</v>
      </c>
      <c r="H2" s="2469" t="s">
        <v>2476</v>
      </c>
      <c r="I2" s="2470" t="s">
        <v>2477</v>
      </c>
    </row>
    <row r="3" spans="1:9">
      <c r="A3" s="3483"/>
      <c r="B3" s="3484" t="s">
        <v>2478</v>
      </c>
      <c r="C3" s="3484"/>
      <c r="D3" s="2471"/>
      <c r="E3" s="2469"/>
      <c r="F3" s="2472"/>
      <c r="G3" s="2472"/>
      <c r="H3" s="2473"/>
      <c r="I3" s="2474">
        <f>ROUND(D3*E3*F3*G3*H3/10000,0)</f>
        <v>0</v>
      </c>
    </row>
    <row r="4" spans="1:9">
      <c r="A4" s="3483"/>
      <c r="B4" s="3484" t="s">
        <v>2479</v>
      </c>
      <c r="C4" s="3484"/>
      <c r="D4" s="2471"/>
      <c r="E4" s="2469"/>
      <c r="F4" s="2472"/>
      <c r="G4" s="2472"/>
      <c r="H4" s="2473"/>
      <c r="I4" s="2474">
        <f t="shared" ref="I4:I9" si="0">ROUND(D4*E4*F4*G4*H4/10000,0)</f>
        <v>0</v>
      </c>
    </row>
    <row r="5" spans="1:9">
      <c r="A5" s="3483"/>
      <c r="B5" s="3484" t="s">
        <v>2480</v>
      </c>
      <c r="C5" s="3484"/>
      <c r="D5" s="2471"/>
      <c r="E5" s="2469"/>
      <c r="F5" s="2472"/>
      <c r="G5" s="2472"/>
      <c r="H5" s="2473"/>
      <c r="I5" s="2474">
        <f t="shared" si="0"/>
        <v>0</v>
      </c>
    </row>
    <row r="6" spans="1:9">
      <c r="A6" s="3483"/>
      <c r="B6" s="3484" t="s">
        <v>2481</v>
      </c>
      <c r="C6" s="3484"/>
      <c r="D6" s="2471"/>
      <c r="E6" s="2469"/>
      <c r="F6" s="2472"/>
      <c r="G6" s="2472"/>
      <c r="H6" s="2473"/>
      <c r="I6" s="2474">
        <f t="shared" si="0"/>
        <v>0</v>
      </c>
    </row>
    <row r="7" spans="1:9">
      <c r="A7" s="3483"/>
      <c r="B7" s="3484" t="s">
        <v>2482</v>
      </c>
      <c r="C7" s="3484"/>
      <c r="D7" s="2471"/>
      <c r="E7" s="2469"/>
      <c r="F7" s="2472"/>
      <c r="G7" s="2472"/>
      <c r="H7" s="2473"/>
      <c r="I7" s="2474">
        <f t="shared" si="0"/>
        <v>0</v>
      </c>
    </row>
    <row r="8" spans="1:9">
      <c r="A8" s="3483"/>
      <c r="B8" s="3484" t="s">
        <v>2483</v>
      </c>
      <c r="C8" s="3484"/>
      <c r="D8" s="2471"/>
      <c r="E8" s="2469"/>
      <c r="F8" s="2472"/>
      <c r="G8" s="2472"/>
      <c r="H8" s="2473"/>
      <c r="I8" s="2474">
        <f t="shared" si="0"/>
        <v>0</v>
      </c>
    </row>
    <row r="9" spans="1:9">
      <c r="A9" s="3483"/>
      <c r="B9" s="3484" t="s">
        <v>2484</v>
      </c>
      <c r="C9" s="3484"/>
      <c r="D9" s="2471"/>
      <c r="E9" s="2469"/>
      <c r="F9" s="2472"/>
      <c r="G9" s="2472"/>
      <c r="H9" s="2473"/>
      <c r="I9" s="2474">
        <f t="shared" si="0"/>
        <v>0</v>
      </c>
    </row>
    <row r="10" spans="1:9">
      <c r="A10" s="3483"/>
      <c r="B10" s="3485" t="s">
        <v>2485</v>
      </c>
      <c r="C10" s="3485"/>
      <c r="D10" s="2475">
        <v>527</v>
      </c>
      <c r="E10" s="2475" t="e">
        <f>ROUND(D1*10000/D10/H9,0)</f>
        <v>#DIV/0!</v>
      </c>
      <c r="F10" s="2476"/>
      <c r="G10" s="2476"/>
      <c r="H10" s="2477"/>
      <c r="I10" s="2478">
        <f>SUM(I3:I9)</f>
        <v>0</v>
      </c>
    </row>
    <row r="11" spans="1:9" ht="14.25">
      <c r="A11" s="3483" t="s">
        <v>2486</v>
      </c>
      <c r="B11" s="3484" t="s">
        <v>2487</v>
      </c>
      <c r="C11" s="3484"/>
      <c r="D11" s="2471" t="s">
        <v>2488</v>
      </c>
      <c r="E11" s="2471" t="s">
        <v>2489</v>
      </c>
      <c r="F11" s="2472" t="s">
        <v>2490</v>
      </c>
      <c r="G11" s="2472" t="s">
        <v>2491</v>
      </c>
      <c r="H11" s="2479" t="s">
        <v>2492</v>
      </c>
      <c r="I11" s="2470" t="s">
        <v>2493</v>
      </c>
    </row>
    <row r="12" spans="1:9">
      <c r="A12" s="3483"/>
      <c r="B12" s="3484" t="s">
        <v>2494</v>
      </c>
      <c r="C12" s="3484"/>
      <c r="D12" s="2471"/>
      <c r="E12" s="2471"/>
      <c r="F12" s="2472"/>
      <c r="G12" s="2473"/>
      <c r="H12" s="2480"/>
      <c r="I12" s="2470">
        <f>ROUND(D12*E12*F12*G12/10000,0)</f>
        <v>0</v>
      </c>
    </row>
    <row r="13" spans="1:9">
      <c r="A13" s="3483"/>
      <c r="B13" s="3484" t="s">
        <v>2495</v>
      </c>
      <c r="C13" s="3484"/>
      <c r="D13" s="2471"/>
      <c r="E13" s="2471"/>
      <c r="F13" s="2472"/>
      <c r="G13" s="2473"/>
      <c r="H13" s="2480"/>
      <c r="I13" s="2470">
        <f>ROUND(D13*E13*F13*G13/10000,0)</f>
        <v>0</v>
      </c>
    </row>
    <row r="14" spans="1:9">
      <c r="A14" s="3483"/>
      <c r="B14" s="3484" t="s">
        <v>2496</v>
      </c>
      <c r="C14" s="3484"/>
      <c r="D14" s="2471"/>
      <c r="E14" s="2471"/>
      <c r="F14" s="2472"/>
      <c r="G14" s="2473"/>
      <c r="H14" s="2480"/>
      <c r="I14" s="2470">
        <f>ROUND(D14*E14*F14*G14/10000,0)</f>
        <v>0</v>
      </c>
    </row>
    <row r="15" spans="1:9">
      <c r="A15" s="3483"/>
      <c r="B15" s="3485" t="s">
        <v>2485</v>
      </c>
      <c r="C15" s="3485"/>
      <c r="D15" s="2475"/>
      <c r="E15" s="2475">
        <f>SUM(E12:E14)</f>
        <v>0</v>
      </c>
      <c r="F15" s="2476"/>
      <c r="G15" s="2473"/>
      <c r="H15" s="2480"/>
      <c r="I15" s="2481">
        <f>SUM(I12:I14)</f>
        <v>0</v>
      </c>
    </row>
    <row r="16" spans="1:9" ht="24">
      <c r="A16" s="3483" t="s">
        <v>2497</v>
      </c>
      <c r="B16" s="3484" t="s">
        <v>2498</v>
      </c>
      <c r="C16" s="3484"/>
      <c r="D16" s="2471" t="s">
        <v>2499</v>
      </c>
      <c r="E16" s="2482" t="s">
        <v>2500</v>
      </c>
      <c r="F16" s="2472" t="s">
        <v>2501</v>
      </c>
      <c r="G16" s="2473" t="s">
        <v>2491</v>
      </c>
      <c r="H16" s="2479" t="s">
        <v>2492</v>
      </c>
      <c r="I16" s="2470" t="s">
        <v>2493</v>
      </c>
    </row>
    <row r="17" spans="1:9" ht="14.25">
      <c r="A17" s="3483"/>
      <c r="B17" s="3484" t="s">
        <v>2502</v>
      </c>
      <c r="C17" s="3484"/>
      <c r="D17" s="2471"/>
      <c r="E17" s="2471"/>
      <c r="F17" s="2472"/>
      <c r="G17" s="2473"/>
      <c r="H17" s="2483"/>
      <c r="I17" s="2484">
        <f>ROUND(D17*E17*F17*G17/10000,0)</f>
        <v>0</v>
      </c>
    </row>
    <row r="18" spans="1:9" ht="14.25">
      <c r="A18" s="3483"/>
      <c r="B18" s="3484" t="s">
        <v>2503</v>
      </c>
      <c r="C18" s="3484"/>
      <c r="D18" s="2471"/>
      <c r="E18" s="2471"/>
      <c r="F18" s="2472"/>
      <c r="G18" s="2473"/>
      <c r="H18" s="2483"/>
      <c r="I18" s="2484">
        <f>ROUND(D18*E18*F18*G18/10000,0)</f>
        <v>0</v>
      </c>
    </row>
    <row r="19" spans="1:9" ht="14.25">
      <c r="A19" s="3483"/>
      <c r="B19" s="3484" t="s">
        <v>2504</v>
      </c>
      <c r="C19" s="3484"/>
      <c r="D19" s="2471"/>
      <c r="E19" s="2471"/>
      <c r="F19" s="2472"/>
      <c r="G19" s="2473"/>
      <c r="H19" s="2483"/>
      <c r="I19" s="2484">
        <f>ROUND(D19*E19*F19*G19/10000,0)</f>
        <v>0</v>
      </c>
    </row>
    <row r="20" spans="1:9">
      <c r="A20" s="3483"/>
      <c r="B20" s="3485" t="s">
        <v>2485</v>
      </c>
      <c r="C20" s="3485"/>
      <c r="D20" s="2475">
        <f>SUM(D17:D19)</f>
        <v>0</v>
      </c>
      <c r="E20" s="2475"/>
      <c r="F20" s="2476"/>
      <c r="G20" s="2473"/>
      <c r="H20" s="2480"/>
      <c r="I20" s="2481">
        <f>SUM(I17:I19)</f>
        <v>0</v>
      </c>
    </row>
    <row r="21" spans="1:9">
      <c r="A21" s="3483" t="s">
        <v>2505</v>
      </c>
      <c r="B21" s="3487"/>
      <c r="C21" s="3487"/>
      <c r="D21" s="3487"/>
      <c r="E21" s="3487"/>
      <c r="F21" s="3487"/>
      <c r="G21" s="3487"/>
      <c r="H21" s="2485">
        <v>0.1</v>
      </c>
      <c r="I21" s="2478">
        <f>ROUND(I10*H21,0)</f>
        <v>0</v>
      </c>
    </row>
    <row r="22" spans="1:9" ht="14.25">
      <c r="A22" s="3488" t="s">
        <v>2506</v>
      </c>
      <c r="B22" s="3489"/>
      <c r="C22" s="3490"/>
      <c r="D22" s="2486" t="s">
        <v>2507</v>
      </c>
      <c r="E22" s="2486" t="s">
        <v>2508</v>
      </c>
      <c r="F22" s="2487" t="s">
        <v>2509</v>
      </c>
      <c r="G22" s="2487" t="s">
        <v>2510</v>
      </c>
      <c r="H22" s="2479" t="s">
        <v>2511</v>
      </c>
      <c r="I22" s="2470" t="s">
        <v>2512</v>
      </c>
    </row>
    <row r="23" spans="1:9" ht="14.25" thickBot="1">
      <c r="A23" s="3491"/>
      <c r="B23" s="3492"/>
      <c r="C23" s="3493"/>
      <c r="D23" s="2488"/>
      <c r="E23" s="2488"/>
      <c r="F23" s="2488"/>
      <c r="G23" s="2489"/>
      <c r="H23" s="2490"/>
      <c r="I23" s="2491">
        <f>ROUND(E23*D23*F23*(1-G23)/10000,0)</f>
        <v>0</v>
      </c>
    </row>
    <row r="26" spans="1:9">
      <c r="A26" s="2492" t="s">
        <v>2513</v>
      </c>
      <c r="B26" s="2492"/>
      <c r="C26" s="2492"/>
      <c r="D26" s="2492"/>
      <c r="E26" s="3494">
        <f>C27-C30-C31-C32</f>
        <v>0</v>
      </c>
      <c r="F26" s="3494"/>
      <c r="G26" s="3494"/>
      <c r="H26" s="2993" t="s">
        <v>2841</v>
      </c>
    </row>
    <row r="27" spans="1:9">
      <c r="A27" s="2493">
        <v>1</v>
      </c>
      <c r="B27" s="2494" t="s">
        <v>2514</v>
      </c>
      <c r="C27" s="2494"/>
      <c r="D27" s="2494"/>
      <c r="E27" s="3495"/>
      <c r="F27" s="3495"/>
      <c r="G27" s="3495"/>
    </row>
    <row r="28" spans="1:9">
      <c r="A28" s="2495" t="s">
        <v>2515</v>
      </c>
      <c r="B28" s="2494" t="s">
        <v>2516</v>
      </c>
      <c r="C28" s="2494"/>
      <c r="D28" s="2494"/>
      <c r="E28" s="3495"/>
      <c r="F28" s="3495"/>
      <c r="G28" s="3495"/>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86"/>
      <c r="F32" s="3486"/>
      <c r="G32" s="3486"/>
    </row>
    <row r="33" spans="1:7" hidden="1">
      <c r="A33" s="3496" t="s">
        <v>2524</v>
      </c>
      <c r="B33" s="3497"/>
      <c r="C33" s="3497"/>
      <c r="D33" s="3498"/>
      <c r="E33" s="3494"/>
      <c r="F33" s="3494"/>
      <c r="G33" s="3494"/>
    </row>
    <row r="34" spans="1:7" hidden="1">
      <c r="A34" s="2497">
        <v>1</v>
      </c>
      <c r="B34" s="2494" t="s">
        <v>2525</v>
      </c>
      <c r="C34" s="2494"/>
      <c r="D34" s="2494"/>
      <c r="E34" s="3495"/>
      <c r="F34" s="3495"/>
      <c r="G34" s="3495"/>
    </row>
    <row r="35" spans="1:7" hidden="1">
      <c r="A35" s="2497">
        <v>2</v>
      </c>
      <c r="B35" s="2494" t="s">
        <v>2526</v>
      </c>
      <c r="C35" s="2494"/>
      <c r="D35" s="2494"/>
      <c r="E35" s="3495"/>
      <c r="F35" s="3495"/>
      <c r="G35" s="3495"/>
    </row>
    <row r="36" spans="1:7" hidden="1">
      <c r="A36" s="2497">
        <v>3</v>
      </c>
      <c r="B36" s="2494" t="s">
        <v>2527</v>
      </c>
      <c r="C36" s="2494"/>
      <c r="D36" s="2494"/>
      <c r="E36" s="3495"/>
      <c r="F36" s="3495"/>
      <c r="G36" s="3495"/>
    </row>
    <row r="37" spans="1:7" hidden="1">
      <c r="A37" s="2497">
        <v>4</v>
      </c>
      <c r="B37" s="2494" t="s">
        <v>2528</v>
      </c>
      <c r="C37" s="2494"/>
      <c r="D37" s="2494"/>
      <c r="E37" s="3495"/>
      <c r="F37" s="3495"/>
      <c r="G37" s="3495"/>
    </row>
    <row r="38" spans="1:7" hidden="1">
      <c r="A38" s="3496" t="s">
        <v>2529</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603</v>
      </c>
      <c r="B1" s="740"/>
      <c r="C1" s="2165"/>
      <c r="D1" s="2165"/>
      <c r="E1" s="2165"/>
      <c r="F1" s="2165"/>
      <c r="G1" s="2091"/>
    </row>
    <row r="2" spans="1:25" s="2042" customFormat="1" ht="18" customHeight="1">
      <c r="A2" s="421" t="s">
        <v>467</v>
      </c>
      <c r="B2" s="423">
        <f ca="1">C23</f>
        <v>0</v>
      </c>
      <c r="C2" s="2091"/>
      <c r="D2" s="2091"/>
      <c r="E2" s="2091"/>
      <c r="F2" s="2091"/>
      <c r="G2" s="2091"/>
    </row>
    <row r="3" spans="1:25" s="2042" customFormat="1" ht="18" customHeight="1">
      <c r="A3" s="1373" t="s">
        <v>1685</v>
      </c>
      <c r="B3" s="423">
        <f ca="1">ROUND(B2*10000/'数据-汇总表'!E3,0)</f>
        <v>0</v>
      </c>
      <c r="C3" s="2091"/>
      <c r="D3" s="2091"/>
      <c r="E3" s="2091"/>
      <c r="F3" s="2091"/>
      <c r="G3" s="2091"/>
    </row>
    <row r="4" spans="1:25" s="2042" customFormat="1" ht="18" customHeight="1">
      <c r="A4" s="424" t="s">
        <v>468</v>
      </c>
      <c r="B4" s="425">
        <f ca="1">ROUND(B2*10000/'数据-汇总表'!D3,0)</f>
        <v>0</v>
      </c>
      <c r="C4" s="2044"/>
      <c r="D4" s="2091"/>
      <c r="E4" s="2091"/>
      <c r="F4" s="2091"/>
      <c r="G4" s="2091"/>
    </row>
    <row r="5" spans="1:25" s="2042" customFormat="1" ht="18" customHeight="1" thickBot="1">
      <c r="A5" s="427"/>
      <c r="B5" s="428">
        <f ca="1">ROUND(B2/('数据-汇总表'!D3/666.67),0)</f>
        <v>0</v>
      </c>
      <c r="C5" s="429"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2438</v>
      </c>
      <c r="B8" s="2434" t="s">
        <v>2440</v>
      </c>
      <c r="C8" s="2435"/>
      <c r="D8" s="747"/>
      <c r="E8" s="748"/>
      <c r="F8" s="748"/>
      <c r="G8" s="749"/>
    </row>
    <row r="9" spans="1:25" s="2166" customFormat="1" ht="13.5" customHeight="1">
      <c r="A9" s="2431" t="s">
        <v>2439</v>
      </c>
      <c r="B9" s="2434" t="s">
        <v>2441</v>
      </c>
      <c r="C9" s="2435"/>
      <c r="D9" s="747"/>
      <c r="E9" s="748"/>
      <c r="F9" s="748"/>
      <c r="G9" s="749"/>
    </row>
    <row r="10" spans="1:25" s="2166" customFormat="1" ht="36">
      <c r="A10" s="2431">
        <v>2</v>
      </c>
      <c r="B10" s="746" t="s">
        <v>613</v>
      </c>
      <c r="C10" s="747">
        <f>C11+C14+C15</f>
        <v>0</v>
      </c>
      <c r="D10" s="758">
        <f>'数据-汇总表'!E3</f>
        <v>704420.41999999993</v>
      </c>
      <c r="E10" s="747">
        <f>'数据-取费表'!B31</f>
        <v>200</v>
      </c>
      <c r="F10" s="759"/>
      <c r="G10" s="757" t="s">
        <v>614</v>
      </c>
    </row>
    <row r="11" spans="1:25" s="2166" customFormat="1" ht="13.5" customHeight="1">
      <c r="A11" s="2431" t="s">
        <v>2438</v>
      </c>
      <c r="B11" s="750" t="s">
        <v>610</v>
      </c>
      <c r="C11" s="751">
        <f>'数据-取费表'!B29</f>
        <v>0</v>
      </c>
      <c r="D11" s="752"/>
      <c r="E11" s="751"/>
      <c r="F11" s="753"/>
      <c r="G11" s="2440" t="s">
        <v>2449</v>
      </c>
    </row>
    <row r="12" spans="1:25" s="2166" customFormat="1" ht="13.5" customHeight="1">
      <c r="A12" s="2438" t="s">
        <v>2446</v>
      </c>
      <c r="B12" s="754" t="s">
        <v>611</v>
      </c>
      <c r="C12" s="755">
        <f>ROUND(D12*E12/10000,0)</f>
        <v>9172</v>
      </c>
      <c r="D12" s="756">
        <f>'数据-汇总表'!E5</f>
        <v>422652.25199999998</v>
      </c>
      <c r="E12" s="755">
        <f>'数据-取费表'!B27</f>
        <v>217</v>
      </c>
      <c r="F12" s="753"/>
      <c r="G12" s="757"/>
    </row>
    <row r="13" spans="1:25" s="2166" customFormat="1" ht="13.5" customHeight="1">
      <c r="A13" s="2438" t="s">
        <v>2445</v>
      </c>
      <c r="B13" s="754" t="s">
        <v>612</v>
      </c>
      <c r="C13" s="755">
        <f>ROUND(D13*E13/10000,0)</f>
        <v>6114</v>
      </c>
      <c r="D13" s="756">
        <f>'数据-汇总表'!E6</f>
        <v>281768.16799999995</v>
      </c>
      <c r="E13" s="755">
        <f>'数据-取费表'!B28</f>
        <v>217</v>
      </c>
      <c r="F13" s="753"/>
      <c r="G13" s="757"/>
    </row>
    <row r="14" spans="1:25" s="2166" customFormat="1" ht="13.5" customHeight="1">
      <c r="A14" s="2431" t="s">
        <v>2439</v>
      </c>
      <c r="B14" s="2437" t="s">
        <v>2442</v>
      </c>
      <c r="C14" s="2435"/>
      <c r="D14" s="756"/>
      <c r="E14" s="755"/>
      <c r="F14" s="2436"/>
      <c r="G14" s="2439" t="s">
        <v>2447</v>
      </c>
    </row>
    <row r="15" spans="1:25" s="2166" customFormat="1" ht="13.5" customHeight="1">
      <c r="A15" s="2431" t="s">
        <v>2444</v>
      </c>
      <c r="B15" s="2437" t="s">
        <v>2443</v>
      </c>
      <c r="C15" s="2435"/>
      <c r="D15" s="756"/>
      <c r="E15" s="755"/>
      <c r="F15" s="2436"/>
      <c r="G15" s="2439" t="s">
        <v>2448</v>
      </c>
    </row>
    <row r="16" spans="1:25" s="2167" customFormat="1" ht="48">
      <c r="A16" s="2431">
        <v>3</v>
      </c>
      <c r="B16" s="746" t="s">
        <v>615</v>
      </c>
      <c r="C16" s="2435"/>
      <c r="D16" s="758"/>
      <c r="E16" s="747"/>
      <c r="F16" s="759"/>
      <c r="G16" s="757"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0.17</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2"/>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0.81499999999999995</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2"/>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1"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7" t="s">
        <v>519</v>
      </c>
      <c r="B3" s="508"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521</v>
      </c>
      <c r="B4" s="511"/>
      <c r="C4" s="3381" t="s">
        <v>522</v>
      </c>
      <c r="D4" s="3382"/>
      <c r="E4" s="3417" t="s">
        <v>523</v>
      </c>
      <c r="F4" s="3418"/>
      <c r="G4" s="3381" t="s">
        <v>524</v>
      </c>
      <c r="H4" s="3382"/>
      <c r="I4" s="3381" t="s">
        <v>525</v>
      </c>
      <c r="J4" s="3382"/>
      <c r="K4" s="512" t="s">
        <v>526</v>
      </c>
      <c r="L4" s="2116"/>
      <c r="M4" s="2117"/>
      <c r="N4" s="2117"/>
      <c r="O4" s="2117"/>
      <c r="P4" s="3383" t="s">
        <v>527</v>
      </c>
      <c r="Q4" s="3384"/>
      <c r="R4" s="3389" t="s">
        <v>523</v>
      </c>
      <c r="S4" s="3390"/>
      <c r="T4" s="3389" t="s">
        <v>524</v>
      </c>
      <c r="U4" s="3390"/>
      <c r="V4" s="3376" t="s">
        <v>525</v>
      </c>
      <c r="W4" s="3376"/>
      <c r="X4" s="1551"/>
      <c r="Y4" s="3389" t="s">
        <v>527</v>
      </c>
      <c r="Z4" s="3390"/>
      <c r="AA4" s="3378" t="s">
        <v>523</v>
      </c>
      <c r="AB4" s="3376" t="s">
        <v>524</v>
      </c>
      <c r="AC4" s="3378" t="s">
        <v>525</v>
      </c>
    </row>
    <row r="5" spans="1:29" ht="15">
      <c r="A5" s="513"/>
      <c r="B5" s="514"/>
      <c r="C5" s="3399" t="s">
        <v>2927</v>
      </c>
      <c r="D5" s="3400"/>
      <c r="E5" s="3419" t="s">
        <v>2928</v>
      </c>
      <c r="F5" s="3420"/>
      <c r="G5" s="3399" t="s">
        <v>2929</v>
      </c>
      <c r="H5" s="3400"/>
      <c r="I5" s="3399" t="s">
        <v>2930</v>
      </c>
      <c r="J5" s="3400"/>
      <c r="K5" s="512"/>
      <c r="L5" s="2116"/>
      <c r="M5" s="2117"/>
      <c r="N5" s="2117"/>
      <c r="O5" s="2117"/>
      <c r="P5" s="3385"/>
      <c r="Q5" s="3386"/>
      <c r="R5" s="3391"/>
      <c r="S5" s="3392"/>
      <c r="T5" s="3391"/>
      <c r="U5" s="3392"/>
      <c r="V5" s="3376"/>
      <c r="W5" s="3376"/>
      <c r="X5" s="1551"/>
      <c r="Y5" s="3391"/>
      <c r="Z5" s="3392"/>
      <c r="AA5" s="3379"/>
      <c r="AB5" s="3376"/>
      <c r="AC5" s="3379"/>
    </row>
    <row r="6" spans="1:29" ht="15.75" thickBot="1">
      <c r="A6" s="515"/>
      <c r="B6" s="516"/>
      <c r="C6" s="3395" t="s">
        <v>2931</v>
      </c>
      <c r="D6" s="3396"/>
      <c r="E6" s="3415" t="s">
        <v>2931</v>
      </c>
      <c r="F6" s="3416"/>
      <c r="G6" s="3395" t="s">
        <v>2931</v>
      </c>
      <c r="H6" s="3396"/>
      <c r="I6" s="3395" t="s">
        <v>2931</v>
      </c>
      <c r="J6" s="3396"/>
      <c r="K6" s="512" t="s">
        <v>528</v>
      </c>
      <c r="L6" s="2116"/>
      <c r="M6" s="2117"/>
      <c r="N6" s="2117"/>
      <c r="O6" s="2117"/>
      <c r="P6" s="3387"/>
      <c r="Q6" s="3388"/>
      <c r="R6" s="3391"/>
      <c r="S6" s="3392"/>
      <c r="T6" s="3393"/>
      <c r="U6" s="3394"/>
      <c r="V6" s="3376"/>
      <c r="W6" s="3376"/>
      <c r="X6" s="1551"/>
      <c r="Y6" s="3393"/>
      <c r="Z6" s="3394"/>
      <c r="AA6" s="3380"/>
      <c r="AB6" s="3376"/>
      <c r="AC6" s="3380"/>
    </row>
    <row r="7" spans="1:29" s="1213" customFormat="1" ht="15.75" thickBot="1">
      <c r="A7" s="2865"/>
      <c r="B7" s="2872" t="s">
        <v>529</v>
      </c>
      <c r="C7" s="517">
        <f>'数据-取费表'!B2</f>
        <v>43665</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08" t="s">
        <v>530</v>
      </c>
      <c r="Q7" s="3410"/>
      <c r="R7" s="1552" t="s">
        <v>8</v>
      </c>
      <c r="S7" s="1553">
        <f t="shared" ref="S7:S15" si="0">F7</f>
        <v>0</v>
      </c>
      <c r="T7" s="1552" t="s">
        <v>8</v>
      </c>
      <c r="U7" s="1553">
        <f t="shared" ref="U7:U15" si="1">H7</f>
        <v>0</v>
      </c>
      <c r="V7" s="1552" t="s">
        <v>8</v>
      </c>
      <c r="W7" s="1553">
        <f t="shared" ref="W7:W15" si="2">J7</f>
        <v>0</v>
      </c>
      <c r="X7" s="1554"/>
      <c r="Y7" s="3408" t="s">
        <v>530</v>
      </c>
      <c r="Z7" s="3409"/>
      <c r="AA7" s="1555" t="e">
        <f>D7/F7</f>
        <v>#DIV/0!</v>
      </c>
      <c r="AB7" s="1555" t="e">
        <f>D7/H7</f>
        <v>#DIV/0!</v>
      </c>
      <c r="AC7" s="1555" t="e">
        <f>D7/J7</f>
        <v>#DIV/0!</v>
      </c>
    </row>
    <row r="8" spans="1:29" s="1213" customFormat="1" ht="15.75" thickBot="1">
      <c r="A8" s="2866"/>
      <c r="B8" s="2873" t="s">
        <v>531</v>
      </c>
      <c r="C8" s="523" t="s">
        <v>576</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08" t="s">
        <v>533</v>
      </c>
      <c r="Q8" s="3409"/>
      <c r="R8" s="1552" t="s">
        <v>8</v>
      </c>
      <c r="S8" s="1553">
        <f t="shared" si="0"/>
        <v>0</v>
      </c>
      <c r="T8" s="1552" t="s">
        <v>8</v>
      </c>
      <c r="U8" s="1553">
        <f t="shared" si="1"/>
        <v>0</v>
      </c>
      <c r="V8" s="1552" t="s">
        <v>8</v>
      </c>
      <c r="W8" s="1553">
        <f t="shared" si="2"/>
        <v>0</v>
      </c>
      <c r="X8" s="1554"/>
      <c r="Y8" s="3408" t="s">
        <v>533</v>
      </c>
      <c r="Z8" s="3409"/>
      <c r="AA8" s="1555" t="e">
        <f t="shared" ref="AA8:AA46" si="3">D8/F8</f>
        <v>#DIV/0!</v>
      </c>
      <c r="AB8" s="1555" t="e">
        <f t="shared" ref="AB8:AB46" si="4">D8/H8</f>
        <v>#DIV/0!</v>
      </c>
      <c r="AC8" s="1555" t="e">
        <f t="shared" ref="AC8:AC46" si="5">D8/J8</f>
        <v>#DIV/0!</v>
      </c>
    </row>
    <row r="9" spans="1:29" s="1213" customFormat="1" ht="15">
      <c r="A9" s="2867"/>
      <c r="B9" s="2874" t="s">
        <v>2754</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375" t="s">
        <v>535</v>
      </c>
      <c r="Q9" s="1144" t="str">
        <f t="shared" ref="Q9:Q15" si="6">B9</f>
        <v>用途</v>
      </c>
      <c r="R9" s="1552" t="s">
        <v>8</v>
      </c>
      <c r="S9" s="1553">
        <f t="shared" si="0"/>
        <v>100</v>
      </c>
      <c r="T9" s="1552" t="s">
        <v>8</v>
      </c>
      <c r="U9" s="1553">
        <f t="shared" si="1"/>
        <v>100</v>
      </c>
      <c r="V9" s="1552" t="s">
        <v>8</v>
      </c>
      <c r="W9" s="1553">
        <f t="shared" si="2"/>
        <v>100</v>
      </c>
      <c r="X9" s="1554"/>
      <c r="Y9" s="3321" t="s">
        <v>536</v>
      </c>
      <c r="Z9" s="1143" t="str">
        <f t="shared" ref="Z9:Z15" si="7">Q9</f>
        <v>用途</v>
      </c>
      <c r="AA9" s="1555">
        <f t="shared" si="3"/>
        <v>1</v>
      </c>
      <c r="AB9" s="1555">
        <f t="shared" si="4"/>
        <v>1</v>
      </c>
      <c r="AC9" s="1555">
        <f t="shared" si="5"/>
        <v>1</v>
      </c>
    </row>
    <row r="10" spans="1:29" s="1331" customFormat="1" ht="27">
      <c r="A10" s="2868"/>
      <c r="B10" s="2873" t="s">
        <v>2755</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375"/>
      <c r="Q10" s="1144" t="str">
        <f t="shared" si="6"/>
        <v>土地使用年限（年）</v>
      </c>
      <c r="R10" s="1552" t="s">
        <v>8</v>
      </c>
      <c r="S10" s="1553">
        <f t="shared" si="0"/>
        <v>100</v>
      </c>
      <c r="T10" s="1552" t="s">
        <v>8</v>
      </c>
      <c r="U10" s="1553">
        <f t="shared" si="1"/>
        <v>100</v>
      </c>
      <c r="V10" s="1552" t="s">
        <v>8</v>
      </c>
      <c r="W10" s="1553">
        <f t="shared" si="2"/>
        <v>100</v>
      </c>
      <c r="X10" s="1554"/>
      <c r="Y10" s="3321"/>
      <c r="Z10" s="1143"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375"/>
      <c r="Q11" s="1144" t="str">
        <f t="shared" si="6"/>
        <v>容积率</v>
      </c>
      <c r="R11" s="1552" t="s">
        <v>8</v>
      </c>
      <c r="S11" s="1553" t="e">
        <f t="shared" si="0"/>
        <v>#N/A</v>
      </c>
      <c r="T11" s="1552" t="s">
        <v>8</v>
      </c>
      <c r="U11" s="1553" t="e">
        <f t="shared" si="1"/>
        <v>#N/A</v>
      </c>
      <c r="V11" s="1552" t="s">
        <v>8</v>
      </c>
      <c r="W11" s="1553" t="e">
        <f t="shared" si="2"/>
        <v>#N/A</v>
      </c>
      <c r="X11" s="1554"/>
      <c r="Y11" s="3321"/>
      <c r="Z11" s="1143" t="str">
        <f t="shared" si="7"/>
        <v>容积率</v>
      </c>
      <c r="AA11" s="1555" t="e">
        <f t="shared" si="3"/>
        <v>#N/A</v>
      </c>
      <c r="AB11" s="1555" t="e">
        <f t="shared" si="4"/>
        <v>#N/A</v>
      </c>
      <c r="AC11" s="1555" t="e">
        <f t="shared" si="5"/>
        <v>#N/A</v>
      </c>
    </row>
    <row r="12" spans="1:29" s="1213" customFormat="1" ht="15">
      <c r="A12" s="2870"/>
      <c r="B12" s="2876">
        <v>111</v>
      </c>
      <c r="C12" s="526"/>
      <c r="D12" s="536">
        <v>100</v>
      </c>
      <c r="E12" s="537"/>
      <c r="F12" s="253">
        <f>SUMIF(70:70,E12,71:71)-SUMIF(70:70,C12,71:71)+100</f>
        <v>100</v>
      </c>
      <c r="G12" s="909"/>
      <c r="H12" s="253">
        <f>SUMIF(70:70,G12,71:71)-SUMIF(70:70,C12,71:71)+100</f>
        <v>100</v>
      </c>
      <c r="I12" s="537"/>
      <c r="J12" s="253">
        <f>SUMIF(70:70,I12,71:71)-SUMIF(70:70,C12,71:71)+100</f>
        <v>100</v>
      </c>
      <c r="K12" s="579"/>
      <c r="L12" s="2118"/>
      <c r="M12" s="2119"/>
      <c r="N12" s="2119"/>
      <c r="O12" s="2120"/>
      <c r="P12" s="3375"/>
      <c r="Q12" s="1144">
        <f t="shared" si="6"/>
        <v>111</v>
      </c>
      <c r="R12" s="1552" t="s">
        <v>8</v>
      </c>
      <c r="S12" s="1553">
        <f t="shared" si="0"/>
        <v>100</v>
      </c>
      <c r="T12" s="1552" t="s">
        <v>8</v>
      </c>
      <c r="U12" s="1553">
        <f t="shared" si="1"/>
        <v>100</v>
      </c>
      <c r="V12" s="1552" t="s">
        <v>8</v>
      </c>
      <c r="W12" s="1553">
        <f t="shared" si="2"/>
        <v>100</v>
      </c>
      <c r="X12" s="1554"/>
      <c r="Y12" s="3321"/>
      <c r="Z12" s="1143">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09"/>
      <c r="H13" s="538">
        <f>SUMIF(72:72,G13,73:73)-SUMIF(72:72,C13,73:73)+100</f>
        <v>100</v>
      </c>
      <c r="I13" s="537"/>
      <c r="J13" s="538">
        <f>SUMIF(72:72,I13,73:73)-SUMIF(72:72,C13,73:73)+100</f>
        <v>100</v>
      </c>
      <c r="K13" s="579"/>
      <c r="L13" s="2125"/>
      <c r="M13" s="2117"/>
      <c r="N13" s="2117"/>
      <c r="O13" s="2124"/>
      <c r="P13" s="3375"/>
      <c r="Q13" s="1144">
        <f t="shared" si="6"/>
        <v>111</v>
      </c>
      <c r="R13" s="1552" t="s">
        <v>8</v>
      </c>
      <c r="S13" s="1553">
        <f t="shared" si="0"/>
        <v>100</v>
      </c>
      <c r="T13" s="1552" t="s">
        <v>8</v>
      </c>
      <c r="U13" s="1553">
        <f t="shared" si="1"/>
        <v>100</v>
      </c>
      <c r="V13" s="1552" t="s">
        <v>8</v>
      </c>
      <c r="W13" s="1553">
        <f t="shared" si="2"/>
        <v>100</v>
      </c>
      <c r="X13" s="1554"/>
      <c r="Y13" s="3321"/>
      <c r="Z13" s="1143">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09"/>
      <c r="H14" s="544">
        <f>SUMIF(74:74,G14,75:75)-SUMIF(74:74,C14,75:75)+100</f>
        <v>100</v>
      </c>
      <c r="I14" s="537"/>
      <c r="J14" s="544">
        <f>SUMIF(74:74,I14,75:75)-SUMIF(74:74,C14,75:75)+100</f>
        <v>100</v>
      </c>
      <c r="K14" s="579"/>
      <c r="L14" s="2125"/>
      <c r="M14" s="2117"/>
      <c r="N14" s="2117"/>
      <c r="O14" s="2124"/>
      <c r="P14" s="3375"/>
      <c r="Q14" s="1144">
        <f t="shared" si="6"/>
        <v>111</v>
      </c>
      <c r="R14" s="1552" t="s">
        <v>8</v>
      </c>
      <c r="S14" s="1553">
        <f t="shared" si="0"/>
        <v>100</v>
      </c>
      <c r="T14" s="1552" t="s">
        <v>8</v>
      </c>
      <c r="U14" s="1553">
        <f t="shared" si="1"/>
        <v>100</v>
      </c>
      <c r="V14" s="1552" t="s">
        <v>8</v>
      </c>
      <c r="W14" s="1553">
        <f t="shared" si="2"/>
        <v>100</v>
      </c>
      <c r="X14" s="1554"/>
      <c r="Y14" s="3321"/>
      <c r="Z14" s="1143">
        <f t="shared" si="7"/>
        <v>111</v>
      </c>
      <c r="AA14" s="1555">
        <f t="shared" si="3"/>
        <v>1</v>
      </c>
      <c r="AB14" s="1555">
        <f t="shared" si="4"/>
        <v>1</v>
      </c>
      <c r="AC14" s="1555">
        <f t="shared" si="5"/>
        <v>1</v>
      </c>
    </row>
    <row r="15" spans="1:29" ht="71.25">
      <c r="A15" s="2863" t="s">
        <v>2752</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5"/>
      <c r="M15" s="2117"/>
      <c r="N15" s="2117"/>
      <c r="O15" s="2124"/>
      <c r="P15" s="3411" t="s">
        <v>540</v>
      </c>
      <c r="Q15" s="1556" t="str">
        <f t="shared" si="6"/>
        <v>商业繁华度</v>
      </c>
      <c r="R15" s="1557" t="s">
        <v>8</v>
      </c>
      <c r="S15" s="1558">
        <f t="shared" si="0"/>
        <v>100</v>
      </c>
      <c r="T15" s="1557" t="s">
        <v>8</v>
      </c>
      <c r="U15" s="1558">
        <f t="shared" si="1"/>
        <v>100</v>
      </c>
      <c r="V15" s="1557" t="s">
        <v>8</v>
      </c>
      <c r="W15" s="1558">
        <f t="shared" si="2"/>
        <v>100</v>
      </c>
      <c r="X15" s="1551"/>
      <c r="Y15" s="3411" t="s">
        <v>540</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6"/>
      <c r="L16" s="2125"/>
      <c r="M16" s="2117"/>
      <c r="N16" s="2117"/>
      <c r="O16" s="2124"/>
      <c r="P16" s="3412"/>
      <c r="Q16" s="1556"/>
      <c r="R16" s="1557"/>
      <c r="S16" s="1558"/>
      <c r="T16" s="1557"/>
      <c r="U16" s="1558"/>
      <c r="V16" s="1557"/>
      <c r="W16" s="1558"/>
      <c r="X16" s="1551"/>
      <c r="Y16" s="3412"/>
      <c r="Z16" s="1559"/>
      <c r="AA16" s="1560">
        <v>1</v>
      </c>
      <c r="AB16" s="1560">
        <v>1</v>
      </c>
      <c r="AC16" s="1560">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5"/>
      <c r="M17" s="2117"/>
      <c r="N17" s="2117"/>
      <c r="O17" s="2124"/>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6"/>
      <c r="L18" s="2125"/>
      <c r="M18" s="2117"/>
      <c r="N18" s="2117"/>
      <c r="O18" s="2124"/>
      <c r="P18" s="3412"/>
      <c r="Q18" s="1556"/>
      <c r="R18" s="1557"/>
      <c r="S18" s="1558"/>
      <c r="T18" s="1557"/>
      <c r="U18" s="1558"/>
      <c r="V18" s="1557"/>
      <c r="W18" s="1558"/>
      <c r="X18" s="1551"/>
      <c r="Y18" s="3412"/>
      <c r="Z18" s="1559"/>
      <c r="AA18" s="1560">
        <v>1</v>
      </c>
      <c r="AB18" s="1560">
        <v>1</v>
      </c>
      <c r="AC18" s="1560">
        <v>1</v>
      </c>
    </row>
    <row r="19" spans="1:29" ht="42.75">
      <c r="A19" s="530"/>
      <c r="B19" s="2562"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5"/>
      <c r="M19" s="2117"/>
      <c r="N19" s="2117"/>
      <c r="O19" s="2124"/>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6"/>
      <c r="L20" s="2125"/>
      <c r="M20" s="2117"/>
      <c r="N20" s="2117"/>
      <c r="O20" s="2124"/>
      <c r="P20" s="3412"/>
      <c r="Q20" s="1556"/>
      <c r="R20" s="1557"/>
      <c r="S20" s="1558"/>
      <c r="T20" s="1557"/>
      <c r="U20" s="1558"/>
      <c r="V20" s="1557"/>
      <c r="W20" s="1558"/>
      <c r="X20" s="1551"/>
      <c r="Y20" s="3412"/>
      <c r="Z20" s="1559"/>
      <c r="AA20" s="1560">
        <v>1</v>
      </c>
      <c r="AB20" s="1560">
        <v>1</v>
      </c>
      <c r="AC20" s="1560">
        <v>1</v>
      </c>
    </row>
    <row r="21" spans="1:29" ht="28.5">
      <c r="A21" s="530"/>
      <c r="B21" s="2555"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5"/>
      <c r="M21" s="2117"/>
      <c r="N21" s="2117"/>
      <c r="O21" s="2124"/>
      <c r="P21" s="3412"/>
      <c r="Q21" s="2541" t="str">
        <f>B21</f>
        <v>基础设施水平</v>
      </c>
      <c r="R21" s="1557" t="s">
        <v>8</v>
      </c>
      <c r="S21" s="1558">
        <f>F21</f>
        <v>100</v>
      </c>
      <c r="T21" s="1557" t="s">
        <v>8</v>
      </c>
      <c r="U21" s="1558">
        <f>H21</f>
        <v>100</v>
      </c>
      <c r="V21" s="1557" t="s">
        <v>8</v>
      </c>
      <c r="W21" s="1558">
        <f>J21</f>
        <v>100</v>
      </c>
      <c r="X21" s="2543"/>
      <c r="Y21" s="3412"/>
      <c r="Z21" s="2542" t="str">
        <f>Q21</f>
        <v>基础设施水平</v>
      </c>
      <c r="AA21" s="1560">
        <f t="shared" ref="AA21" si="8">D21/F21</f>
        <v>1</v>
      </c>
      <c r="AB21" s="1560">
        <f t="shared" ref="AB21" si="9">D21/H21</f>
        <v>1</v>
      </c>
      <c r="AC21" s="1560">
        <f t="shared" ref="AC21" si="10">D21/J21</f>
        <v>1</v>
      </c>
    </row>
    <row r="22" spans="1:29" ht="15">
      <c r="A22" s="530"/>
      <c r="B22" s="919"/>
      <c r="C22" s="871"/>
      <c r="D22" s="553"/>
      <c r="E22" s="574"/>
      <c r="F22" s="555"/>
      <c r="G22" s="574"/>
      <c r="H22" s="553"/>
      <c r="I22" s="574"/>
      <c r="J22" s="553"/>
      <c r="K22" s="2564"/>
      <c r="L22" s="2125"/>
      <c r="M22" s="2117"/>
      <c r="N22" s="2117"/>
      <c r="O22" s="2124"/>
      <c r="P22" s="3412"/>
      <c r="Q22" s="2541"/>
      <c r="R22" s="1557"/>
      <c r="S22" s="1558"/>
      <c r="T22" s="1557"/>
      <c r="U22" s="1558"/>
      <c r="V22" s="1557"/>
      <c r="W22" s="1558"/>
      <c r="X22" s="2543"/>
      <c r="Y22" s="3412"/>
      <c r="Z22" s="2542"/>
      <c r="AA22" s="1560">
        <v>1</v>
      </c>
      <c r="AB22" s="1560">
        <v>1</v>
      </c>
      <c r="AC22" s="1560">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5"/>
      <c r="M23" s="2117"/>
      <c r="N23" s="2117"/>
      <c r="O23" s="2124"/>
      <c r="P23" s="3412"/>
      <c r="Q23" s="1556" t="str">
        <f>B23</f>
        <v>自然及人文环境</v>
      </c>
      <c r="R23" s="1557" t="s">
        <v>8</v>
      </c>
      <c r="S23" s="1558">
        <f>F23</f>
        <v>100</v>
      </c>
      <c r="T23" s="1557" t="s">
        <v>8</v>
      </c>
      <c r="U23" s="1558">
        <f>H23</f>
        <v>100</v>
      </c>
      <c r="V23" s="1557" t="s">
        <v>8</v>
      </c>
      <c r="W23" s="1558">
        <f>J23</f>
        <v>100</v>
      </c>
      <c r="X23" s="1551"/>
      <c r="Y23" s="3412"/>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6"/>
      <c r="L24" s="2125"/>
      <c r="M24" s="2117"/>
      <c r="N24" s="2117"/>
      <c r="O24" s="2124"/>
      <c r="P24" s="3412"/>
      <c r="Q24" s="1556"/>
      <c r="R24" s="1557"/>
      <c r="S24" s="1558"/>
      <c r="T24" s="1557"/>
      <c r="U24" s="1558"/>
      <c r="V24" s="1557"/>
      <c r="W24" s="1558"/>
      <c r="X24" s="1551"/>
      <c r="Y24" s="3412"/>
      <c r="Z24" s="1559"/>
      <c r="AA24" s="1560">
        <v>1</v>
      </c>
      <c r="AB24" s="1560">
        <v>1</v>
      </c>
      <c r="AC24" s="1560">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12"/>
      <c r="Q25" s="1556" t="str">
        <f t="shared" ref="Q25:Q46" si="11">B25</f>
        <v>临街状况</v>
      </c>
      <c r="R25" s="1557" t="s">
        <v>8</v>
      </c>
      <c r="S25" s="1558">
        <f>F25</f>
        <v>100</v>
      </c>
      <c r="T25" s="1557" t="s">
        <v>8</v>
      </c>
      <c r="U25" s="1558">
        <f>H25</f>
        <v>100</v>
      </c>
      <c r="V25" s="1557" t="s">
        <v>8</v>
      </c>
      <c r="W25" s="1558">
        <f>J25</f>
        <v>100</v>
      </c>
      <c r="X25" s="1551"/>
      <c r="Y25" s="3412"/>
      <c r="Z25" s="1559" t="str">
        <f>Q25</f>
        <v>临街状况</v>
      </c>
      <c r="AA25" s="1560">
        <f t="shared" si="3"/>
        <v>1</v>
      </c>
      <c r="AB25" s="1560">
        <f t="shared" si="4"/>
        <v>1</v>
      </c>
      <c r="AC25" s="1560">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12"/>
      <c r="Q26" s="1556" t="str">
        <f t="shared" si="11"/>
        <v>平面位置/可视性</v>
      </c>
      <c r="R26" s="1557" t="s">
        <v>8</v>
      </c>
      <c r="S26" s="1558">
        <f>F26</f>
        <v>100</v>
      </c>
      <c r="T26" s="1557" t="s">
        <v>8</v>
      </c>
      <c r="U26" s="1558">
        <f>H26</f>
        <v>100</v>
      </c>
      <c r="V26" s="1557" t="s">
        <v>8</v>
      </c>
      <c r="W26" s="1558">
        <f>J26</f>
        <v>100</v>
      </c>
      <c r="X26" s="1551"/>
      <c r="Y26" s="3412"/>
      <c r="Z26" s="1559" t="str">
        <f>Q26</f>
        <v>平面位置/可视性</v>
      </c>
      <c r="AA26" s="1560">
        <f t="shared" si="3"/>
        <v>1</v>
      </c>
      <c r="AB26" s="1560">
        <f t="shared" si="4"/>
        <v>1</v>
      </c>
      <c r="AC26" s="1560">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8"/>
      <c r="M27" s="2119"/>
      <c r="N27" s="2119"/>
      <c r="O27" s="2120"/>
      <c r="P27" s="3412"/>
      <c r="Q27" s="1144" t="str">
        <f t="shared" si="11"/>
        <v>人流量</v>
      </c>
      <c r="R27" s="1552" t="s">
        <v>8</v>
      </c>
      <c r="S27" s="1553">
        <f>F27</f>
        <v>100</v>
      </c>
      <c r="T27" s="1552" t="s">
        <v>8</v>
      </c>
      <c r="U27" s="1553">
        <f>H27</f>
        <v>100</v>
      </c>
      <c r="V27" s="1552" t="s">
        <v>8</v>
      </c>
      <c r="W27" s="1553">
        <f>J27</f>
        <v>100</v>
      </c>
      <c r="X27" s="1554"/>
      <c r="Y27" s="3412"/>
      <c r="Z27" s="1143" t="str">
        <f>Q27</f>
        <v>人流量</v>
      </c>
      <c r="AA27" s="1560">
        <f>D27/F27</f>
        <v>1</v>
      </c>
      <c r="AB27" s="1560">
        <f>D27/H27</f>
        <v>1</v>
      </c>
      <c r="AC27" s="1560">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1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12"/>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12"/>
      <c r="Q29" s="1556">
        <f t="shared" si="11"/>
        <v>111</v>
      </c>
      <c r="R29" s="1557" t="s">
        <v>8</v>
      </c>
      <c r="S29" s="1558">
        <f t="shared" si="12"/>
        <v>100</v>
      </c>
      <c r="T29" s="1557" t="s">
        <v>8</v>
      </c>
      <c r="U29" s="1558">
        <f t="shared" si="13"/>
        <v>100</v>
      </c>
      <c r="V29" s="1557" t="s">
        <v>8</v>
      </c>
      <c r="W29" s="1558">
        <f t="shared" si="14"/>
        <v>100</v>
      </c>
      <c r="X29" s="1551"/>
      <c r="Y29" s="3412"/>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12"/>
      <c r="Q30" s="1556">
        <f t="shared" si="11"/>
        <v>111</v>
      </c>
      <c r="R30" s="1557" t="s">
        <v>8</v>
      </c>
      <c r="S30" s="1558">
        <f t="shared" si="12"/>
        <v>100</v>
      </c>
      <c r="T30" s="1557" t="s">
        <v>8</v>
      </c>
      <c r="U30" s="1558">
        <f t="shared" si="13"/>
        <v>100</v>
      </c>
      <c r="V30" s="1557" t="s">
        <v>8</v>
      </c>
      <c r="W30" s="1558">
        <f t="shared" si="14"/>
        <v>100</v>
      </c>
      <c r="X30" s="1551"/>
      <c r="Y30" s="3412"/>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12"/>
      <c r="Q31" s="1556">
        <f t="shared" si="11"/>
        <v>111</v>
      </c>
      <c r="R31" s="1557" t="s">
        <v>8</v>
      </c>
      <c r="S31" s="1558">
        <f t="shared" si="12"/>
        <v>100</v>
      </c>
      <c r="T31" s="1557" t="s">
        <v>8</v>
      </c>
      <c r="U31" s="1558">
        <f t="shared" si="13"/>
        <v>100</v>
      </c>
      <c r="V31" s="1557" t="s">
        <v>8</v>
      </c>
      <c r="W31" s="1558">
        <f t="shared" si="14"/>
        <v>100</v>
      </c>
      <c r="X31" s="1551"/>
      <c r="Y31" s="3412"/>
      <c r="Z31" s="1559">
        <f t="shared" si="15"/>
        <v>111</v>
      </c>
      <c r="AA31" s="1560">
        <f t="shared" si="3"/>
        <v>1</v>
      </c>
      <c r="AB31" s="1560">
        <f t="shared" si="4"/>
        <v>1</v>
      </c>
      <c r="AC31" s="1560">
        <f t="shared" si="5"/>
        <v>1</v>
      </c>
    </row>
    <row r="32" spans="1:29" ht="15">
      <c r="A32" s="2860" t="s">
        <v>2753</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13" t="s">
        <v>550</v>
      </c>
      <c r="Q32" s="1556" t="str">
        <f t="shared" si="11"/>
        <v>商业类型</v>
      </c>
      <c r="R32" s="1557" t="s">
        <v>8</v>
      </c>
      <c r="S32" s="1558">
        <f t="shared" si="12"/>
        <v>100</v>
      </c>
      <c r="T32" s="1557" t="s">
        <v>8</v>
      </c>
      <c r="U32" s="1558">
        <f t="shared" si="13"/>
        <v>100</v>
      </c>
      <c r="V32" s="1557" t="s">
        <v>8</v>
      </c>
      <c r="W32" s="1558">
        <f t="shared" si="14"/>
        <v>100</v>
      </c>
      <c r="X32" s="1551"/>
      <c r="Y32" s="3414" t="s">
        <v>550</v>
      </c>
      <c r="Z32" s="1559" t="str">
        <f t="shared" si="15"/>
        <v>商业类型</v>
      </c>
      <c r="AA32" s="1560">
        <f t="shared" si="3"/>
        <v>1</v>
      </c>
      <c r="AB32" s="1560">
        <f t="shared" si="4"/>
        <v>1</v>
      </c>
      <c r="AC32" s="1560">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14"/>
      <c r="Q33" s="1588" t="str">
        <f t="shared" si="11"/>
        <v>项目建筑规模</v>
      </c>
      <c r="R33" s="1561" t="s">
        <v>8</v>
      </c>
      <c r="S33" s="1562" t="e">
        <f t="shared" si="12"/>
        <v>#N/A</v>
      </c>
      <c r="T33" s="1561" t="s">
        <v>8</v>
      </c>
      <c r="U33" s="1562" t="e">
        <f t="shared" si="13"/>
        <v>#N/A</v>
      </c>
      <c r="V33" s="1561" t="s">
        <v>8</v>
      </c>
      <c r="W33" s="1562" t="e">
        <f t="shared" si="14"/>
        <v>#N/A</v>
      </c>
      <c r="X33" s="1563"/>
      <c r="Y33" s="3414"/>
      <c r="Z33" s="1564" t="str">
        <f t="shared" si="15"/>
        <v>项目建筑规模</v>
      </c>
      <c r="AA33" s="1560" t="e">
        <f t="shared" si="3"/>
        <v>#N/A</v>
      </c>
      <c r="AB33" s="1560" t="e">
        <f t="shared" si="4"/>
        <v>#N/A</v>
      </c>
      <c r="AC33" s="1560"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5"/>
      <c r="M34" s="2117"/>
      <c r="N34" s="2117"/>
      <c r="O34" s="2124"/>
      <c r="P34" s="3414"/>
      <c r="Q34" s="1556" t="str">
        <f t="shared" si="11"/>
        <v>建筑结构</v>
      </c>
      <c r="R34" s="1557" t="s">
        <v>8</v>
      </c>
      <c r="S34" s="1558">
        <f t="shared" si="12"/>
        <v>100</v>
      </c>
      <c r="T34" s="1557" t="s">
        <v>8</v>
      </c>
      <c r="U34" s="1558">
        <f t="shared" si="13"/>
        <v>100</v>
      </c>
      <c r="V34" s="1557" t="s">
        <v>8</v>
      </c>
      <c r="W34" s="1558">
        <f t="shared" si="14"/>
        <v>100</v>
      </c>
      <c r="X34" s="1551"/>
      <c r="Y34" s="3414"/>
      <c r="Z34" s="1559" t="str">
        <f t="shared" si="15"/>
        <v>建筑结构</v>
      </c>
      <c r="AA34" s="1560">
        <f t="shared" si="3"/>
        <v>1</v>
      </c>
      <c r="AB34" s="1560">
        <f t="shared" si="4"/>
        <v>1</v>
      </c>
      <c r="AC34" s="1560">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14"/>
      <c r="Q35" s="1556" t="str">
        <f t="shared" si="11"/>
        <v>公共部分装修</v>
      </c>
      <c r="R35" s="1557" t="s">
        <v>8</v>
      </c>
      <c r="S35" s="1558">
        <f t="shared" si="12"/>
        <v>100</v>
      </c>
      <c r="T35" s="1557" t="s">
        <v>8</v>
      </c>
      <c r="U35" s="1558">
        <f t="shared" si="13"/>
        <v>100</v>
      </c>
      <c r="V35" s="1557" t="s">
        <v>8</v>
      </c>
      <c r="W35" s="1558">
        <f t="shared" si="14"/>
        <v>100</v>
      </c>
      <c r="X35" s="1551"/>
      <c r="Y35" s="3414"/>
      <c r="Z35" s="1559" t="str">
        <f t="shared" si="15"/>
        <v>公共部分装修</v>
      </c>
      <c r="AA35" s="1560">
        <f t="shared" si="3"/>
        <v>1</v>
      </c>
      <c r="AB35" s="1560">
        <f t="shared" si="4"/>
        <v>1</v>
      </c>
      <c r="AC35" s="1560">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5"/>
      <c r="M36" s="2117"/>
      <c r="N36" s="2117"/>
      <c r="O36" s="2124"/>
      <c r="P36" s="3414"/>
      <c r="Q36" s="1556" t="str">
        <f t="shared" si="11"/>
        <v>成新度</v>
      </c>
      <c r="R36" s="1557" t="s">
        <v>8</v>
      </c>
      <c r="S36" s="1558" t="e">
        <f t="shared" si="12"/>
        <v>#N/A</v>
      </c>
      <c r="T36" s="1557" t="s">
        <v>8</v>
      </c>
      <c r="U36" s="1558" t="e">
        <f t="shared" si="13"/>
        <v>#N/A</v>
      </c>
      <c r="V36" s="1557" t="s">
        <v>8</v>
      </c>
      <c r="W36" s="1558" t="e">
        <f t="shared" si="14"/>
        <v>#N/A</v>
      </c>
      <c r="X36" s="1551"/>
      <c r="Y36" s="3414"/>
      <c r="Z36" s="1559" t="str">
        <f t="shared" si="15"/>
        <v>成新度</v>
      </c>
      <c r="AA36" s="1560" t="e">
        <f t="shared" si="3"/>
        <v>#N/A</v>
      </c>
      <c r="AB36" s="1560" t="e">
        <f t="shared" si="4"/>
        <v>#N/A</v>
      </c>
      <c r="AC36" s="1560" t="e">
        <f t="shared" si="5"/>
        <v>#N/A</v>
      </c>
    </row>
    <row r="37" spans="1:29" s="1213" customFormat="1" ht="15">
      <c r="A37" s="598"/>
      <c r="B37" s="1878"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14"/>
      <c r="Q37" s="1144" t="str">
        <f t="shared" si="11"/>
        <v>市政基础设施</v>
      </c>
      <c r="R37" s="1552" t="s">
        <v>8</v>
      </c>
      <c r="S37" s="1553">
        <f t="shared" si="12"/>
        <v>100</v>
      </c>
      <c r="T37" s="1552" t="s">
        <v>8</v>
      </c>
      <c r="U37" s="1553">
        <f t="shared" si="13"/>
        <v>100</v>
      </c>
      <c r="V37" s="1552" t="s">
        <v>8</v>
      </c>
      <c r="W37" s="1553">
        <f t="shared" si="14"/>
        <v>100</v>
      </c>
      <c r="X37" s="1554"/>
      <c r="Y37" s="3414"/>
      <c r="Z37" s="1143" t="str">
        <f t="shared" si="15"/>
        <v>市政基础设施</v>
      </c>
      <c r="AA37" s="1555">
        <f t="shared" si="3"/>
        <v>1</v>
      </c>
      <c r="AB37" s="1555">
        <f t="shared" si="4"/>
        <v>1</v>
      </c>
      <c r="AC37" s="1555">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14" t="s">
        <v>766</v>
      </c>
      <c r="Q38" s="1556" t="str">
        <f t="shared" si="11"/>
        <v>业态</v>
      </c>
      <c r="R38" s="1557" t="s">
        <v>8</v>
      </c>
      <c r="S38" s="1558">
        <f t="shared" si="12"/>
        <v>100</v>
      </c>
      <c r="T38" s="1557" t="s">
        <v>8</v>
      </c>
      <c r="U38" s="1558">
        <f t="shared" si="13"/>
        <v>100</v>
      </c>
      <c r="V38" s="1557" t="s">
        <v>8</v>
      </c>
      <c r="W38" s="1558">
        <f t="shared" si="14"/>
        <v>100</v>
      </c>
      <c r="X38" s="1551"/>
      <c r="Y38" s="3414" t="s">
        <v>766</v>
      </c>
      <c r="Z38" s="1559" t="str">
        <f t="shared" si="15"/>
        <v>业态</v>
      </c>
      <c r="AA38" s="1560">
        <f t="shared" si="3"/>
        <v>1</v>
      </c>
      <c r="AB38" s="1560">
        <f t="shared" si="4"/>
        <v>1</v>
      </c>
      <c r="AC38" s="1560">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14"/>
      <c r="Q39" s="1556" t="str">
        <f t="shared" si="11"/>
        <v>层高</v>
      </c>
      <c r="R39" s="1557" t="s">
        <v>8</v>
      </c>
      <c r="S39" s="1558">
        <f t="shared" si="12"/>
        <v>100</v>
      </c>
      <c r="T39" s="1557" t="s">
        <v>8</v>
      </c>
      <c r="U39" s="1558">
        <f t="shared" si="13"/>
        <v>100</v>
      </c>
      <c r="V39" s="1557" t="s">
        <v>8</v>
      </c>
      <c r="W39" s="1558">
        <f t="shared" si="14"/>
        <v>100</v>
      </c>
      <c r="X39" s="1551"/>
      <c r="Y39" s="3414"/>
      <c r="Z39" s="1559" t="str">
        <f t="shared" si="15"/>
        <v>层高</v>
      </c>
      <c r="AA39" s="1560">
        <f t="shared" si="3"/>
        <v>1</v>
      </c>
      <c r="AB39" s="1560">
        <f t="shared" si="4"/>
        <v>1</v>
      </c>
      <c r="AC39" s="1560">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5"/>
      <c r="M40" s="2117"/>
      <c r="N40" s="2117"/>
      <c r="O40" s="2124"/>
      <c r="P40" s="3414"/>
      <c r="Q40" s="1556" t="str">
        <f t="shared" si="11"/>
        <v>单套建筑面积</v>
      </c>
      <c r="R40" s="1557" t="s">
        <v>8</v>
      </c>
      <c r="S40" s="1558">
        <f t="shared" si="12"/>
        <v>100</v>
      </c>
      <c r="T40" s="1557" t="s">
        <v>8</v>
      </c>
      <c r="U40" s="1558">
        <f t="shared" si="13"/>
        <v>100</v>
      </c>
      <c r="V40" s="1557" t="s">
        <v>8</v>
      </c>
      <c r="W40" s="1558">
        <f t="shared" si="14"/>
        <v>100</v>
      </c>
      <c r="X40" s="1551"/>
      <c r="Y40" s="3414"/>
      <c r="Z40" s="1559" t="str">
        <f t="shared" si="15"/>
        <v>单套建筑面积</v>
      </c>
      <c r="AA40" s="1560">
        <f t="shared" si="3"/>
        <v>1</v>
      </c>
      <c r="AB40" s="1560">
        <f t="shared" si="4"/>
        <v>1</v>
      </c>
      <c r="AC40" s="1560">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14"/>
      <c r="Q41" s="1588" t="str">
        <f t="shared" si="11"/>
        <v>进深比</v>
      </c>
      <c r="R41" s="1561" t="s">
        <v>8</v>
      </c>
      <c r="S41" s="1562">
        <f t="shared" si="12"/>
        <v>100</v>
      </c>
      <c r="T41" s="1561" t="s">
        <v>8</v>
      </c>
      <c r="U41" s="1562">
        <f t="shared" si="13"/>
        <v>100</v>
      </c>
      <c r="V41" s="1561" t="s">
        <v>8</v>
      </c>
      <c r="W41" s="1562">
        <f t="shared" si="14"/>
        <v>100</v>
      </c>
      <c r="X41" s="1563"/>
      <c r="Y41" s="3414"/>
      <c r="Z41" s="1564" t="str">
        <f t="shared" si="15"/>
        <v>进深比</v>
      </c>
      <c r="AA41" s="1560">
        <f t="shared" si="3"/>
        <v>1</v>
      </c>
      <c r="AB41" s="1560">
        <f t="shared" si="4"/>
        <v>1</v>
      </c>
      <c r="AC41" s="1560">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14"/>
      <c r="Q42" s="1556" t="str">
        <f t="shared" si="11"/>
        <v>内部装修</v>
      </c>
      <c r="R42" s="1557" t="s">
        <v>8</v>
      </c>
      <c r="S42" s="1558">
        <f t="shared" si="12"/>
        <v>100</v>
      </c>
      <c r="T42" s="1557" t="s">
        <v>8</v>
      </c>
      <c r="U42" s="1558">
        <f t="shared" si="13"/>
        <v>100</v>
      </c>
      <c r="V42" s="1557" t="s">
        <v>8</v>
      </c>
      <c r="W42" s="1558">
        <f t="shared" si="14"/>
        <v>100</v>
      </c>
      <c r="X42" s="1551"/>
      <c r="Y42" s="3414"/>
      <c r="Z42" s="1559" t="str">
        <f t="shared" si="15"/>
        <v>内部装修</v>
      </c>
      <c r="AA42" s="1560">
        <f t="shared" si="3"/>
        <v>1</v>
      </c>
      <c r="AB42" s="1560">
        <f t="shared" si="4"/>
        <v>1</v>
      </c>
      <c r="AC42" s="1560">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14"/>
      <c r="Q43" s="1556" t="str">
        <f t="shared" si="11"/>
        <v>内部装修维护情况</v>
      </c>
      <c r="R43" s="1557" t="s">
        <v>8</v>
      </c>
      <c r="S43" s="1558">
        <f t="shared" si="12"/>
        <v>100</v>
      </c>
      <c r="T43" s="1557" t="s">
        <v>8</v>
      </c>
      <c r="U43" s="1558">
        <f t="shared" si="13"/>
        <v>100</v>
      </c>
      <c r="V43" s="1557" t="s">
        <v>8</v>
      </c>
      <c r="W43" s="1558">
        <f t="shared" si="14"/>
        <v>100</v>
      </c>
      <c r="X43" s="1551"/>
      <c r="Y43" s="3414"/>
      <c r="Z43" s="1559" t="str">
        <f t="shared" si="15"/>
        <v>内部装修维护情况</v>
      </c>
      <c r="AA43" s="1560">
        <f t="shared" si="3"/>
        <v>1</v>
      </c>
      <c r="AB43" s="1560">
        <f t="shared" si="4"/>
        <v>1</v>
      </c>
      <c r="AC43" s="1560">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14"/>
      <c r="Q44" s="1144">
        <f t="shared" si="11"/>
        <v>111</v>
      </c>
      <c r="R44" s="1552" t="s">
        <v>8</v>
      </c>
      <c r="S44" s="1553">
        <f t="shared" si="12"/>
        <v>100</v>
      </c>
      <c r="T44" s="1552" t="s">
        <v>8</v>
      </c>
      <c r="U44" s="1553">
        <f t="shared" si="13"/>
        <v>100</v>
      </c>
      <c r="V44" s="1552" t="s">
        <v>8</v>
      </c>
      <c r="W44" s="1553">
        <f t="shared" si="14"/>
        <v>100</v>
      </c>
      <c r="X44" s="1554"/>
      <c r="Y44" s="3414"/>
      <c r="Z44" s="1143">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14"/>
      <c r="Q45" s="1556">
        <f t="shared" si="11"/>
        <v>111</v>
      </c>
      <c r="R45" s="1557" t="s">
        <v>8</v>
      </c>
      <c r="S45" s="1558">
        <f t="shared" si="12"/>
        <v>100</v>
      </c>
      <c r="T45" s="1557" t="s">
        <v>8</v>
      </c>
      <c r="U45" s="1558">
        <f t="shared" si="13"/>
        <v>100</v>
      </c>
      <c r="V45" s="1557" t="s">
        <v>8</v>
      </c>
      <c r="W45" s="1558">
        <f t="shared" si="14"/>
        <v>100</v>
      </c>
      <c r="X45" s="1551"/>
      <c r="Y45" s="3414"/>
      <c r="Z45" s="1559">
        <f t="shared" si="15"/>
        <v>111</v>
      </c>
      <c r="AA45" s="1560">
        <f t="shared" si="3"/>
        <v>1</v>
      </c>
      <c r="AB45" s="1560">
        <f t="shared" si="4"/>
        <v>1</v>
      </c>
      <c r="AC45" s="1560">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472"/>
      <c r="Q46" s="1556">
        <f t="shared" si="11"/>
        <v>111</v>
      </c>
      <c r="R46" s="1557" t="s">
        <v>8</v>
      </c>
      <c r="S46" s="1558">
        <f t="shared" si="12"/>
        <v>100</v>
      </c>
      <c r="T46" s="1557" t="s">
        <v>8</v>
      </c>
      <c r="U46" s="1558">
        <f t="shared" si="13"/>
        <v>100</v>
      </c>
      <c r="V46" s="1557" t="s">
        <v>8</v>
      </c>
      <c r="W46" s="1558">
        <f t="shared" si="14"/>
        <v>100</v>
      </c>
      <c r="X46" s="1551"/>
      <c r="Y46" s="3472"/>
      <c r="Z46" s="1559">
        <f t="shared" si="15"/>
        <v>111</v>
      </c>
      <c r="AA46" s="1560">
        <f t="shared" si="3"/>
        <v>1</v>
      </c>
      <c r="AB46" s="1560">
        <f t="shared" si="4"/>
        <v>1</v>
      </c>
      <c r="AC46" s="1560">
        <f t="shared" si="5"/>
        <v>1</v>
      </c>
    </row>
    <row r="47" spans="1:29" ht="15">
      <c r="A47" s="605" t="s">
        <v>736</v>
      </c>
      <c r="B47" s="884"/>
      <c r="C47" s="2589" t="s">
        <v>1</v>
      </c>
      <c r="D47" s="2590"/>
      <c r="E47" s="2591"/>
      <c r="F47" s="2592"/>
      <c r="G47" s="2593"/>
      <c r="H47" s="2594"/>
      <c r="I47" s="2591"/>
      <c r="J47" s="2594"/>
      <c r="K47" s="1594"/>
      <c r="L47" s="2127"/>
      <c r="M47" s="2128"/>
      <c r="N47" s="2117"/>
      <c r="O47" s="2128"/>
      <c r="P47" s="3375" t="str">
        <f>A47</f>
        <v>成交单价（元/平方米）</v>
      </c>
      <c r="Q47" s="3375"/>
      <c r="R47" s="3471">
        <f>E47</f>
        <v>0</v>
      </c>
      <c r="S47" s="3471"/>
      <c r="T47" s="3471">
        <f>G47</f>
        <v>0</v>
      </c>
      <c r="U47" s="3471"/>
      <c r="V47" s="3471">
        <f>I47</f>
        <v>0</v>
      </c>
      <c r="W47" s="3471"/>
      <c r="X47" s="1543"/>
      <c r="Y47" s="1565"/>
      <c r="Z47" s="1543"/>
      <c r="AA47" s="1543"/>
      <c r="AB47" s="1543"/>
      <c r="AC47" s="1543"/>
    </row>
    <row r="48" spans="1:29" ht="15.75" thickBot="1">
      <c r="A48" s="613" t="s">
        <v>2758</v>
      </c>
      <c r="B48" s="885"/>
      <c r="C48" s="2595" t="e">
        <f>R49</f>
        <v>#DIV/0!</v>
      </c>
      <c r="D48" s="2596"/>
      <c r="E48" s="2597" t="e">
        <f>R48</f>
        <v>#DIV/0!</v>
      </c>
      <c r="F48" s="2597"/>
      <c r="G48" s="2595" t="e">
        <f>T48</f>
        <v>#DIV/0!</v>
      </c>
      <c r="H48" s="2596"/>
      <c r="I48" s="2597" t="e">
        <f>V48</f>
        <v>#DIV/0!</v>
      </c>
      <c r="J48" s="2596"/>
      <c r="K48" s="1595"/>
      <c r="L48" s="2127"/>
      <c r="M48" s="2128"/>
      <c r="N48" s="2117"/>
      <c r="O48" s="2128"/>
      <c r="P48" s="3375" t="str">
        <f>A48</f>
        <v>比较价格（元/平方米）</v>
      </c>
      <c r="Q48" s="3375"/>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3"/>
      <c r="Y48" s="1543"/>
      <c r="Z48" s="1543"/>
      <c r="AA48" s="1543"/>
      <c r="AB48" s="1543"/>
      <c r="AC48" s="1543"/>
    </row>
    <row r="49" spans="1:29" ht="15.75" thickBot="1">
      <c r="A49" s="619" t="s">
        <v>2933</v>
      </c>
      <c r="B49" s="620"/>
      <c r="C49" s="2598" t="e">
        <f>R49</f>
        <v>#DIV/0!</v>
      </c>
      <c r="D49" s="2598"/>
      <c r="E49" s="2598"/>
      <c r="F49" s="2598"/>
      <c r="G49" s="2598"/>
      <c r="H49" s="2598"/>
      <c r="I49" s="2598"/>
      <c r="J49" s="2598"/>
      <c r="K49" s="1596"/>
      <c r="L49" s="2127"/>
      <c r="M49" s="2128"/>
      <c r="N49" s="2117"/>
      <c r="O49" s="2128"/>
      <c r="P49" s="3372" t="str">
        <f>A49</f>
        <v>估价对象XX用房的比较价格（楼面单价，元/平方米）</v>
      </c>
      <c r="Q49" s="3373"/>
      <c r="R49" s="3470" t="e">
        <f>IF(F1="售价",ROUND(AVERAGE(R48:V48),0),ROUND(AVERAGE(R48:V48),1))</f>
        <v>#DIV/0!</v>
      </c>
      <c r="S49" s="3470"/>
      <c r="T49" s="3470"/>
      <c r="U49" s="3470"/>
      <c r="V49" s="3470"/>
      <c r="W49" s="347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3" t="s">
        <v>529</v>
      </c>
      <c r="B58" s="644"/>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3"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3"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3"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7"/>
      <c r="B62" s="646"/>
      <c r="C62" s="886">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8"/>
    </row>
    <row r="63" spans="1:29">
      <c r="A63" s="662" t="s">
        <v>577</v>
      </c>
      <c r="B63" s="663" t="s">
        <v>534</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2555</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2556</v>
      </c>
      <c r="C82" s="2560" t="s">
        <v>2557</v>
      </c>
      <c r="D82" s="2560" t="s">
        <v>2558</v>
      </c>
      <c r="E82" s="2560" t="s">
        <v>2559</v>
      </c>
      <c r="F82" s="2560" t="s">
        <v>2560</v>
      </c>
      <c r="G82" s="2560" t="s">
        <v>2561</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7"/>
      <c r="B86" s="671" t="s">
        <v>771</v>
      </c>
      <c r="C86" s="686"/>
      <c r="D86" s="686"/>
      <c r="E86" s="686"/>
      <c r="F86" s="686"/>
      <c r="G86" s="686"/>
      <c r="H86" s="686"/>
      <c r="I86" s="686"/>
      <c r="J86" s="686"/>
      <c r="K86" s="686"/>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7"/>
      <c r="B88" s="671" t="str">
        <f>B26</f>
        <v>平面位置/可视性</v>
      </c>
      <c r="C88" s="686"/>
      <c r="D88" s="686"/>
      <c r="E88" s="686"/>
      <c r="F88" s="889"/>
      <c r="G88" s="686"/>
      <c r="H88" s="686"/>
      <c r="I88" s="686"/>
      <c r="J88" s="686"/>
      <c r="K88" s="686"/>
      <c r="L88" s="686"/>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0"/>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772</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751</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6"/>
      <c r="B112" s="1879" t="s">
        <v>2554</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773</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774</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775</v>
      </c>
      <c r="C118" s="906"/>
      <c r="D118" s="906"/>
      <c r="E118" s="906"/>
      <c r="F118" s="906"/>
      <c r="G118" s="906"/>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6"/>
      <c r="B120" s="671" t="s">
        <v>776</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60"/>
      <c r="G1" s="1584" t="s">
        <v>721</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1" t="s">
        <v>467</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7" t="s">
        <v>519</v>
      </c>
      <c r="B3" s="508" t="e">
        <f>C50</f>
        <v>#DIV/0!</v>
      </c>
      <c r="C3" s="850" t="s">
        <v>722</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521</v>
      </c>
      <c r="B4" s="511"/>
      <c r="C4" s="3381" t="s">
        <v>522</v>
      </c>
      <c r="D4" s="3382"/>
      <c r="E4" s="3417" t="s">
        <v>523</v>
      </c>
      <c r="F4" s="3418"/>
      <c r="G4" s="3381" t="s">
        <v>524</v>
      </c>
      <c r="H4" s="3382"/>
      <c r="I4" s="3381" t="s">
        <v>525</v>
      </c>
      <c r="J4" s="3382"/>
      <c r="K4" s="512" t="s">
        <v>526</v>
      </c>
      <c r="L4" s="2116"/>
      <c r="M4" s="2117"/>
      <c r="N4" s="2117"/>
      <c r="O4" s="2117"/>
      <c r="P4" s="3500" t="s">
        <v>527</v>
      </c>
      <c r="Q4" s="3384"/>
      <c r="R4" s="3389" t="s">
        <v>523</v>
      </c>
      <c r="S4" s="3390"/>
      <c r="T4" s="3389" t="s">
        <v>524</v>
      </c>
      <c r="U4" s="3390"/>
      <c r="V4" s="3376" t="s">
        <v>525</v>
      </c>
      <c r="W4" s="3376"/>
      <c r="X4" s="1551"/>
      <c r="Y4" s="3389" t="s">
        <v>527</v>
      </c>
      <c r="Z4" s="3390"/>
      <c r="AA4" s="3378" t="s">
        <v>523</v>
      </c>
      <c r="AB4" s="3378" t="s">
        <v>524</v>
      </c>
      <c r="AC4" s="3378" t="s">
        <v>525</v>
      </c>
    </row>
    <row r="5" spans="1:29" ht="15">
      <c r="A5" s="513"/>
      <c r="B5" s="514"/>
      <c r="C5" s="3399" t="s">
        <v>2927</v>
      </c>
      <c r="D5" s="3400"/>
      <c r="E5" s="3419" t="s">
        <v>2928</v>
      </c>
      <c r="F5" s="3420"/>
      <c r="G5" s="3399" t="s">
        <v>2929</v>
      </c>
      <c r="H5" s="3400"/>
      <c r="I5" s="3399" t="s">
        <v>2930</v>
      </c>
      <c r="J5" s="3400"/>
      <c r="K5" s="512"/>
      <c r="L5" s="2116"/>
      <c r="M5" s="2117"/>
      <c r="N5" s="2117"/>
      <c r="O5" s="2117"/>
      <c r="P5" s="3501"/>
      <c r="Q5" s="3386"/>
      <c r="R5" s="3391"/>
      <c r="S5" s="3392"/>
      <c r="T5" s="3391"/>
      <c r="U5" s="3392"/>
      <c r="V5" s="3376"/>
      <c r="W5" s="3376"/>
      <c r="X5" s="1551"/>
      <c r="Y5" s="3391"/>
      <c r="Z5" s="3392"/>
      <c r="AA5" s="3379"/>
      <c r="AB5" s="3379"/>
      <c r="AC5" s="3379"/>
    </row>
    <row r="6" spans="1:29" ht="15.75" thickBot="1">
      <c r="A6" s="515"/>
      <c r="B6" s="516"/>
      <c r="C6" s="3395" t="s">
        <v>2931</v>
      </c>
      <c r="D6" s="3396"/>
      <c r="E6" s="3415" t="s">
        <v>2931</v>
      </c>
      <c r="F6" s="3416"/>
      <c r="G6" s="3395" t="s">
        <v>2931</v>
      </c>
      <c r="H6" s="3396"/>
      <c r="I6" s="3395" t="s">
        <v>2931</v>
      </c>
      <c r="J6" s="3396"/>
      <c r="K6" s="512" t="s">
        <v>528</v>
      </c>
      <c r="L6" s="2116"/>
      <c r="M6" s="2117"/>
      <c r="N6" s="2117"/>
      <c r="O6" s="2117"/>
      <c r="P6" s="3502"/>
      <c r="Q6" s="3388"/>
      <c r="R6" s="3391"/>
      <c r="S6" s="3392"/>
      <c r="T6" s="3393"/>
      <c r="U6" s="3394"/>
      <c r="V6" s="3376"/>
      <c r="W6" s="3376"/>
      <c r="X6" s="1551"/>
      <c r="Y6" s="3393"/>
      <c r="Z6" s="3394"/>
      <c r="AA6" s="3380"/>
      <c r="AB6" s="3380"/>
      <c r="AC6" s="3380"/>
    </row>
    <row r="7" spans="1:29" s="1213" customFormat="1" ht="15.75" thickBot="1">
      <c r="A7" s="2865"/>
      <c r="B7" s="2872" t="s">
        <v>529</v>
      </c>
      <c r="C7" s="517">
        <f>'数据-取费表'!B2</f>
        <v>43665</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10" t="s">
        <v>530</v>
      </c>
      <c r="Q7" s="3410"/>
      <c r="R7" s="1552" t="s">
        <v>8</v>
      </c>
      <c r="S7" s="1553">
        <f t="shared" ref="S7:S15" si="0">F7</f>
        <v>0</v>
      </c>
      <c r="T7" s="1552" t="s">
        <v>8</v>
      </c>
      <c r="U7" s="1553">
        <f t="shared" ref="U7:U15" si="1">H7</f>
        <v>0</v>
      </c>
      <c r="V7" s="1552" t="s">
        <v>8</v>
      </c>
      <c r="W7" s="1553">
        <f t="shared" ref="W7:W15" si="2">J7</f>
        <v>0</v>
      </c>
      <c r="X7" s="1554"/>
      <c r="Y7" s="3408" t="s">
        <v>530</v>
      </c>
      <c r="Z7" s="3409"/>
      <c r="AA7" s="1555" t="e">
        <f>D7/F7</f>
        <v>#DIV/0!</v>
      </c>
      <c r="AB7" s="1555" t="e">
        <f>D7/H7</f>
        <v>#DIV/0!</v>
      </c>
      <c r="AC7" s="1555" t="e">
        <f>D7/J7</f>
        <v>#DIV/0!</v>
      </c>
    </row>
    <row r="8" spans="1:29" s="1213" customFormat="1" ht="15.75" thickBot="1">
      <c r="A8" s="2866"/>
      <c r="B8" s="2873" t="s">
        <v>531</v>
      </c>
      <c r="C8" s="523" t="s">
        <v>576</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10" t="s">
        <v>533</v>
      </c>
      <c r="Q8" s="3409"/>
      <c r="R8" s="1552" t="s">
        <v>8</v>
      </c>
      <c r="S8" s="1553">
        <f t="shared" si="0"/>
        <v>0</v>
      </c>
      <c r="T8" s="1552" t="s">
        <v>8</v>
      </c>
      <c r="U8" s="1553">
        <f t="shared" si="1"/>
        <v>0</v>
      </c>
      <c r="V8" s="1552" t="s">
        <v>8</v>
      </c>
      <c r="W8" s="1553">
        <f t="shared" si="2"/>
        <v>0</v>
      </c>
      <c r="X8" s="1554"/>
      <c r="Y8" s="3408" t="s">
        <v>533</v>
      </c>
      <c r="Z8" s="3409"/>
      <c r="AA8" s="1555" t="e">
        <f t="shared" ref="AA8:AA47" si="3">D8/F8</f>
        <v>#DIV/0!</v>
      </c>
      <c r="AB8" s="1555" t="e">
        <f t="shared" ref="AB8:AB47" si="4">D8/H8</f>
        <v>#DIV/0!</v>
      </c>
      <c r="AC8" s="1555" t="e">
        <f t="shared" ref="AC8:AC47" si="5">D8/J8</f>
        <v>#DIV/0!</v>
      </c>
    </row>
    <row r="9" spans="1:29" s="1213" customFormat="1" ht="15">
      <c r="A9" s="2867"/>
      <c r="B9" s="2874" t="s">
        <v>2754</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375" t="s">
        <v>535</v>
      </c>
      <c r="Q9" s="1144" t="str">
        <f t="shared" ref="Q9:Q15" si="6">B9</f>
        <v>用途</v>
      </c>
      <c r="R9" s="1552" t="s">
        <v>8</v>
      </c>
      <c r="S9" s="1553">
        <f t="shared" si="0"/>
        <v>100</v>
      </c>
      <c r="T9" s="1552" t="s">
        <v>8</v>
      </c>
      <c r="U9" s="1553">
        <f t="shared" si="1"/>
        <v>100</v>
      </c>
      <c r="V9" s="1552" t="s">
        <v>8</v>
      </c>
      <c r="W9" s="1553">
        <f t="shared" si="2"/>
        <v>100</v>
      </c>
      <c r="X9" s="1554"/>
      <c r="Y9" s="3321" t="s">
        <v>536</v>
      </c>
      <c r="Z9" s="1143" t="str">
        <f t="shared" ref="Z9:Z15" si="7">Q9</f>
        <v>用途</v>
      </c>
      <c r="AA9" s="1555">
        <f t="shared" si="3"/>
        <v>1</v>
      </c>
      <c r="AB9" s="1555">
        <f t="shared" si="4"/>
        <v>1</v>
      </c>
      <c r="AC9" s="1555">
        <f t="shared" si="5"/>
        <v>1</v>
      </c>
    </row>
    <row r="10" spans="1:29" s="1331" customFormat="1" ht="27">
      <c r="A10" s="2868"/>
      <c r="B10" s="2873" t="s">
        <v>2755</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375"/>
      <c r="Q10" s="1144" t="str">
        <f t="shared" si="6"/>
        <v>土地使用年限（年）</v>
      </c>
      <c r="R10" s="1552" t="s">
        <v>8</v>
      </c>
      <c r="S10" s="1553">
        <f t="shared" si="0"/>
        <v>100</v>
      </c>
      <c r="T10" s="1552" t="s">
        <v>8</v>
      </c>
      <c r="U10" s="1553">
        <f t="shared" si="1"/>
        <v>100</v>
      </c>
      <c r="V10" s="1552" t="s">
        <v>8</v>
      </c>
      <c r="W10" s="1553">
        <f t="shared" si="2"/>
        <v>100</v>
      </c>
      <c r="X10" s="1554"/>
      <c r="Y10" s="3321"/>
      <c r="Z10" s="1143"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375"/>
      <c r="Q11" s="1144" t="str">
        <f t="shared" si="6"/>
        <v>容积率</v>
      </c>
      <c r="R11" s="1552" t="s">
        <v>8</v>
      </c>
      <c r="S11" s="1553" t="e">
        <f t="shared" si="0"/>
        <v>#N/A</v>
      </c>
      <c r="T11" s="1552" t="s">
        <v>8</v>
      </c>
      <c r="U11" s="1553" t="e">
        <f t="shared" si="1"/>
        <v>#N/A</v>
      </c>
      <c r="V11" s="1552" t="s">
        <v>8</v>
      </c>
      <c r="W11" s="1553" t="e">
        <f t="shared" si="2"/>
        <v>#N/A</v>
      </c>
      <c r="X11" s="1554"/>
      <c r="Y11" s="3321"/>
      <c r="Z11" s="1143" t="str">
        <f t="shared" si="7"/>
        <v>容积率</v>
      </c>
      <c r="AA11" s="1555" t="e">
        <f t="shared" si="3"/>
        <v>#N/A</v>
      </c>
      <c r="AB11" s="1555" t="e">
        <f t="shared" si="4"/>
        <v>#N/A</v>
      </c>
      <c r="AC11" s="1555" t="e">
        <f t="shared" si="5"/>
        <v>#N/A</v>
      </c>
    </row>
    <row r="12" spans="1:29" s="1213" customFormat="1" ht="15">
      <c r="A12" s="2870"/>
      <c r="B12" s="2876">
        <v>111</v>
      </c>
      <c r="C12" s="526"/>
      <c r="D12" s="536">
        <v>100</v>
      </c>
      <c r="E12" s="526"/>
      <c r="F12" s="253">
        <f>SUMIF(71:71,E12,72:72)-SUMIF(71:71,C12,72:72)+100</f>
        <v>100</v>
      </c>
      <c r="G12" s="907"/>
      <c r="H12" s="253">
        <f>SUMIF(71:71,G12,72:72)-SUMIF(71:71,C12,72:72)+100</f>
        <v>100</v>
      </c>
      <c r="I12" s="526"/>
      <c r="J12" s="253">
        <f>SUMIF(71:71,I12,72:72)-SUMIF(71:71,C12,72:72)+100</f>
        <v>100</v>
      </c>
      <c r="K12" s="579"/>
      <c r="L12" s="2118"/>
      <c r="M12" s="2119"/>
      <c r="N12" s="2119"/>
      <c r="O12" s="2119"/>
      <c r="P12" s="3375"/>
      <c r="Q12" s="1144">
        <f t="shared" si="6"/>
        <v>111</v>
      </c>
      <c r="R12" s="1552" t="s">
        <v>8</v>
      </c>
      <c r="S12" s="1553">
        <f t="shared" si="0"/>
        <v>100</v>
      </c>
      <c r="T12" s="1552" t="s">
        <v>8</v>
      </c>
      <c r="U12" s="1553">
        <f t="shared" si="1"/>
        <v>100</v>
      </c>
      <c r="V12" s="1552" t="s">
        <v>8</v>
      </c>
      <c r="W12" s="1553">
        <f t="shared" si="2"/>
        <v>100</v>
      </c>
      <c r="X12" s="1554"/>
      <c r="Y12" s="3321"/>
      <c r="Z12" s="1143">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7"/>
      <c r="H13" s="538">
        <f>SUMIF(73:73,G13,74:74)-SUMIF(73:73,C13,74:74)+100</f>
        <v>100</v>
      </c>
      <c r="I13" s="526"/>
      <c r="J13" s="538">
        <f>SUMIF(73:73,I13,74:74)-SUMIF(73:73,C13,74:74)+100</f>
        <v>100</v>
      </c>
      <c r="K13" s="579"/>
      <c r="L13" s="2125"/>
      <c r="M13" s="2117"/>
      <c r="N13" s="2117"/>
      <c r="O13" s="2117"/>
      <c r="P13" s="3375"/>
      <c r="Q13" s="1144">
        <f t="shared" si="6"/>
        <v>111</v>
      </c>
      <c r="R13" s="1552" t="s">
        <v>8</v>
      </c>
      <c r="S13" s="1553">
        <f t="shared" si="0"/>
        <v>100</v>
      </c>
      <c r="T13" s="1552" t="s">
        <v>8</v>
      </c>
      <c r="U13" s="1553">
        <f t="shared" si="1"/>
        <v>100</v>
      </c>
      <c r="V13" s="1552" t="s">
        <v>8</v>
      </c>
      <c r="W13" s="1553">
        <f t="shared" si="2"/>
        <v>100</v>
      </c>
      <c r="X13" s="1554"/>
      <c r="Y13" s="3321"/>
      <c r="Z13" s="1143">
        <f t="shared" si="7"/>
        <v>111</v>
      </c>
      <c r="AA13" s="1555">
        <f t="shared" si="3"/>
        <v>1</v>
      </c>
      <c r="AB13" s="1555">
        <f t="shared" si="4"/>
        <v>1</v>
      </c>
      <c r="AC13" s="1555">
        <f t="shared" si="5"/>
        <v>1</v>
      </c>
    </row>
    <row r="14" spans="1:29" ht="15.75" thickBot="1">
      <c r="A14" s="2871"/>
      <c r="B14" s="2877">
        <v>111</v>
      </c>
      <c r="C14" s="543"/>
      <c r="D14" s="544">
        <v>100</v>
      </c>
      <c r="E14" s="908"/>
      <c r="F14" s="544">
        <f>SUMIF(75:75,E14,76:76)-SUMIF(75:75,C14,76:76)+100</f>
        <v>100</v>
      </c>
      <c r="G14" s="907"/>
      <c r="H14" s="544">
        <f>SUMIF(75:75,G14,76:76)-SUMIF(75:75,C14,76:76)+100</f>
        <v>100</v>
      </c>
      <c r="I14" s="526"/>
      <c r="J14" s="544">
        <f>SUMIF(75:75,I14,76:76)-SUMIF(75:75,C14,76:76)+100</f>
        <v>100</v>
      </c>
      <c r="K14" s="579"/>
      <c r="L14" s="2125"/>
      <c r="M14" s="2117"/>
      <c r="N14" s="2117"/>
      <c r="O14" s="2117"/>
      <c r="P14" s="3375"/>
      <c r="Q14" s="1144">
        <f t="shared" si="6"/>
        <v>111</v>
      </c>
      <c r="R14" s="1552" t="s">
        <v>8</v>
      </c>
      <c r="S14" s="1553">
        <f t="shared" si="0"/>
        <v>100</v>
      </c>
      <c r="T14" s="1552" t="s">
        <v>8</v>
      </c>
      <c r="U14" s="1553">
        <f t="shared" si="1"/>
        <v>100</v>
      </c>
      <c r="V14" s="1552" t="s">
        <v>8</v>
      </c>
      <c r="W14" s="1553">
        <f t="shared" si="2"/>
        <v>100</v>
      </c>
      <c r="X14" s="1554"/>
      <c r="Y14" s="3321"/>
      <c r="Z14" s="1143">
        <f t="shared" si="7"/>
        <v>111</v>
      </c>
      <c r="AA14" s="1555">
        <f t="shared" si="3"/>
        <v>1</v>
      </c>
      <c r="AB14" s="1555">
        <f t="shared" si="4"/>
        <v>1</v>
      </c>
      <c r="AC14" s="1555">
        <f t="shared" si="5"/>
        <v>1</v>
      </c>
    </row>
    <row r="15" spans="1:29" ht="71.25">
      <c r="A15" s="2863" t="s">
        <v>2752</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5"/>
      <c r="M15" s="2117"/>
      <c r="N15" s="2117"/>
      <c r="O15" s="2117"/>
      <c r="P15" s="3411" t="s">
        <v>540</v>
      </c>
      <c r="Q15" s="1556" t="str">
        <f t="shared" si="6"/>
        <v>办公集聚程度</v>
      </c>
      <c r="R15" s="1557" t="s">
        <v>8</v>
      </c>
      <c r="S15" s="1558">
        <f t="shared" si="0"/>
        <v>100</v>
      </c>
      <c r="T15" s="1557" t="s">
        <v>8</v>
      </c>
      <c r="U15" s="1558">
        <f t="shared" si="1"/>
        <v>100</v>
      </c>
      <c r="V15" s="1557" t="s">
        <v>8</v>
      </c>
      <c r="W15" s="1558">
        <f t="shared" si="2"/>
        <v>100</v>
      </c>
      <c r="X15" s="1551"/>
      <c r="Y15" s="3411" t="s">
        <v>540</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6"/>
      <c r="L16" s="2125"/>
      <c r="M16" s="2117"/>
      <c r="N16" s="2117"/>
      <c r="O16" s="2117"/>
      <c r="P16" s="3412"/>
      <c r="Q16" s="1556"/>
      <c r="R16" s="1557"/>
      <c r="S16" s="1558"/>
      <c r="T16" s="1557"/>
      <c r="U16" s="1558"/>
      <c r="V16" s="1557"/>
      <c r="W16" s="1558"/>
      <c r="X16" s="1551"/>
      <c r="Y16" s="3412"/>
      <c r="Z16" s="1559"/>
      <c r="AA16" s="1560">
        <v>1</v>
      </c>
      <c r="AB16" s="1560">
        <v>1</v>
      </c>
      <c r="AC16" s="1560">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5"/>
      <c r="M17" s="2117"/>
      <c r="N17" s="2117"/>
      <c r="O17" s="2117"/>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6"/>
      <c r="L18" s="2125"/>
      <c r="M18" s="2117"/>
      <c r="N18" s="2117"/>
      <c r="O18" s="2117"/>
      <c r="P18" s="3412"/>
      <c r="Q18" s="1556"/>
      <c r="R18" s="1557"/>
      <c r="S18" s="1558"/>
      <c r="T18" s="1557"/>
      <c r="U18" s="1558"/>
      <c r="V18" s="1557"/>
      <c r="W18" s="1558"/>
      <c r="X18" s="1551"/>
      <c r="Y18" s="3412"/>
      <c r="Z18" s="1559"/>
      <c r="AA18" s="1560">
        <v>1</v>
      </c>
      <c r="AB18" s="1560">
        <v>1</v>
      </c>
      <c r="AC18" s="1560">
        <v>1</v>
      </c>
    </row>
    <row r="19" spans="1:29" ht="42.75">
      <c r="A19" s="530"/>
      <c r="B19" s="2565" t="s">
        <v>2544</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5"/>
      <c r="M19" s="2117"/>
      <c r="N19" s="2117"/>
      <c r="O19" s="2117"/>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6"/>
      <c r="L20" s="2125"/>
      <c r="M20" s="2117"/>
      <c r="N20" s="2117"/>
      <c r="O20" s="2117"/>
      <c r="P20" s="3412"/>
      <c r="Q20" s="1556"/>
      <c r="R20" s="1557"/>
      <c r="S20" s="1558"/>
      <c r="T20" s="1557"/>
      <c r="U20" s="1558"/>
      <c r="V20" s="1557"/>
      <c r="W20" s="1558"/>
      <c r="X20" s="1551"/>
      <c r="Y20" s="3412"/>
      <c r="Z20" s="1559"/>
      <c r="AA20" s="1560">
        <v>1</v>
      </c>
      <c r="AB20" s="1560">
        <v>1</v>
      </c>
      <c r="AC20" s="1560">
        <v>1</v>
      </c>
    </row>
    <row r="21" spans="1:29" ht="28.5">
      <c r="A21" s="530"/>
      <c r="B21" s="2553" t="s">
        <v>2556</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5"/>
      <c r="M21" s="2117"/>
      <c r="N21" s="2117"/>
      <c r="O21" s="2117"/>
      <c r="P21" s="3412"/>
      <c r="Q21" s="2541" t="str">
        <f>B21</f>
        <v>基础设施水平</v>
      </c>
      <c r="R21" s="1557" t="s">
        <v>8</v>
      </c>
      <c r="S21" s="1558">
        <f>F21</f>
        <v>100</v>
      </c>
      <c r="T21" s="1557" t="s">
        <v>8</v>
      </c>
      <c r="U21" s="1558">
        <f>H21</f>
        <v>100</v>
      </c>
      <c r="V21" s="1557" t="s">
        <v>8</v>
      </c>
      <c r="W21" s="1558">
        <f>J21</f>
        <v>100</v>
      </c>
      <c r="X21" s="2543"/>
      <c r="Y21" s="3412"/>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12"/>
      <c r="Q22" s="2541"/>
      <c r="R22" s="1557"/>
      <c r="S22" s="1558"/>
      <c r="T22" s="1557"/>
      <c r="U22" s="1558"/>
      <c r="V22" s="1557"/>
      <c r="W22" s="1558"/>
      <c r="X22" s="2543"/>
      <c r="Y22" s="3412"/>
      <c r="Z22" s="2542"/>
      <c r="AA22" s="1560">
        <v>1</v>
      </c>
      <c r="AB22" s="1560">
        <v>1</v>
      </c>
      <c r="AC22" s="1560">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5"/>
      <c r="M23" s="2117"/>
      <c r="N23" s="2117"/>
      <c r="O23" s="2117"/>
      <c r="P23" s="3412"/>
      <c r="Q23" s="1556" t="str">
        <f>B23</f>
        <v>环境质量</v>
      </c>
      <c r="R23" s="1557" t="s">
        <v>8</v>
      </c>
      <c r="S23" s="1558">
        <f>F23</f>
        <v>100</v>
      </c>
      <c r="T23" s="1557" t="s">
        <v>8</v>
      </c>
      <c r="U23" s="1558">
        <f>H23</f>
        <v>100</v>
      </c>
      <c r="V23" s="1557" t="s">
        <v>8</v>
      </c>
      <c r="W23" s="1558">
        <f>J23</f>
        <v>100</v>
      </c>
      <c r="X23" s="1551"/>
      <c r="Y23" s="3412"/>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6"/>
      <c r="L24" s="2125"/>
      <c r="M24" s="2117"/>
      <c r="N24" s="2117"/>
      <c r="O24" s="2117"/>
      <c r="P24" s="3412"/>
      <c r="Q24" s="1556"/>
      <c r="R24" s="1557"/>
      <c r="S24" s="1558"/>
      <c r="T24" s="1557"/>
      <c r="U24" s="1558"/>
      <c r="V24" s="1557"/>
      <c r="W24" s="1558"/>
      <c r="X24" s="1551"/>
      <c r="Y24" s="3412"/>
      <c r="Z24" s="1559"/>
      <c r="AA24" s="1560">
        <v>1</v>
      </c>
      <c r="AB24" s="1560">
        <v>1</v>
      </c>
      <c r="AC24" s="1560">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5"/>
      <c r="M25" s="2117"/>
      <c r="N25" s="2117"/>
      <c r="O25" s="2117"/>
      <c r="P25" s="3412"/>
      <c r="Q25" s="1556" t="str">
        <f>B25</f>
        <v>毗邻道路的类型与等级</v>
      </c>
      <c r="R25" s="1557" t="s">
        <v>8</v>
      </c>
      <c r="S25" s="1558">
        <f>F25</f>
        <v>100</v>
      </c>
      <c r="T25" s="1557" t="s">
        <v>8</v>
      </c>
      <c r="U25" s="1558">
        <f>H25</f>
        <v>100</v>
      </c>
      <c r="V25" s="1557" t="s">
        <v>8</v>
      </c>
      <c r="W25" s="1558">
        <f>J25</f>
        <v>100</v>
      </c>
      <c r="X25" s="1551"/>
      <c r="Y25" s="3412"/>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6"/>
      <c r="L26" s="2125"/>
      <c r="M26" s="2117"/>
      <c r="N26" s="2117"/>
      <c r="O26" s="2117"/>
      <c r="P26" s="3412"/>
      <c r="Q26" s="1556"/>
      <c r="R26" s="1557"/>
      <c r="S26" s="1558"/>
      <c r="T26" s="1557"/>
      <c r="U26" s="1558"/>
      <c r="V26" s="1557"/>
      <c r="W26" s="1558"/>
      <c r="X26" s="1551"/>
      <c r="Y26" s="3412"/>
      <c r="Z26" s="1559"/>
      <c r="AA26" s="1560">
        <v>1</v>
      </c>
      <c r="AB26" s="1560">
        <v>1</v>
      </c>
      <c r="AC26" s="1560">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12"/>
      <c r="Q27" s="1556" t="str">
        <f t="shared" ref="Q27:Q47" si="11">B27</f>
        <v>楼层</v>
      </c>
      <c r="R27" s="1557" t="s">
        <v>8</v>
      </c>
      <c r="S27" s="1558">
        <f>F27</f>
        <v>100</v>
      </c>
      <c r="T27" s="1557" t="s">
        <v>8</v>
      </c>
      <c r="U27" s="1558">
        <f>H27</f>
        <v>100</v>
      </c>
      <c r="V27" s="1557" t="s">
        <v>8</v>
      </c>
      <c r="W27" s="1558">
        <f>J27</f>
        <v>100</v>
      </c>
      <c r="X27" s="1551"/>
      <c r="Y27" s="3412"/>
      <c r="Z27" s="1559" t="str">
        <f>Q27</f>
        <v>楼层</v>
      </c>
      <c r="AA27" s="1560">
        <f t="shared" si="3"/>
        <v>1</v>
      </c>
      <c r="AB27" s="1560">
        <f t="shared" si="4"/>
        <v>1</v>
      </c>
      <c r="AC27" s="1560">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8"/>
      <c r="M28" s="2119"/>
      <c r="N28" s="2119"/>
      <c r="O28" s="2119"/>
      <c r="P28" s="3412"/>
      <c r="Q28" s="1144" t="str">
        <f t="shared" si="11"/>
        <v>朝向</v>
      </c>
      <c r="R28" s="1552" t="s">
        <v>8</v>
      </c>
      <c r="S28" s="1553">
        <f>F28</f>
        <v>100</v>
      </c>
      <c r="T28" s="1552" t="s">
        <v>8</v>
      </c>
      <c r="U28" s="1553">
        <f>H28</f>
        <v>100</v>
      </c>
      <c r="V28" s="1552" t="s">
        <v>8</v>
      </c>
      <c r="W28" s="1553">
        <f>J28</f>
        <v>100</v>
      </c>
      <c r="X28" s="1554"/>
      <c r="Y28" s="3412"/>
      <c r="Z28" s="1143" t="str">
        <f>Q28</f>
        <v>朝向</v>
      </c>
      <c r="AA28" s="1560">
        <f>D28/F28</f>
        <v>1</v>
      </c>
      <c r="AB28" s="1560">
        <f>D28/H28</f>
        <v>1</v>
      </c>
      <c r="AC28" s="1560">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5"/>
      <c r="M29" s="2117"/>
      <c r="N29" s="2117"/>
      <c r="O29" s="2117"/>
      <c r="P29" s="3412"/>
      <c r="Q29" s="1556">
        <f t="shared" si="11"/>
        <v>111</v>
      </c>
      <c r="R29" s="1557" t="s">
        <v>8</v>
      </c>
      <c r="S29" s="1558">
        <f t="shared" ref="S29:S47" si="12">F29</f>
        <v>100</v>
      </c>
      <c r="T29" s="1557" t="s">
        <v>8</v>
      </c>
      <c r="U29" s="1558">
        <f t="shared" ref="U29:U47" si="13">H29</f>
        <v>100</v>
      </c>
      <c r="V29" s="1557" t="s">
        <v>8</v>
      </c>
      <c r="W29" s="1558">
        <f t="shared" ref="W29:W47" si="14">J29</f>
        <v>100</v>
      </c>
      <c r="X29" s="1551"/>
      <c r="Y29" s="3412"/>
      <c r="Z29" s="1559">
        <f t="shared" ref="Z29:Z47" si="15">Q29</f>
        <v>111</v>
      </c>
      <c r="AA29" s="1560">
        <f t="shared" si="3"/>
        <v>1</v>
      </c>
      <c r="AB29" s="1560">
        <f t="shared" si="4"/>
        <v>1</v>
      </c>
      <c r="AC29" s="1560">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5"/>
      <c r="M30" s="2117"/>
      <c r="N30" s="2117"/>
      <c r="O30" s="2117"/>
      <c r="P30" s="3412"/>
      <c r="Q30" s="1556">
        <f t="shared" si="11"/>
        <v>111</v>
      </c>
      <c r="R30" s="1557" t="s">
        <v>8</v>
      </c>
      <c r="S30" s="1558">
        <f t="shared" si="12"/>
        <v>100</v>
      </c>
      <c r="T30" s="1557" t="s">
        <v>8</v>
      </c>
      <c r="U30" s="1558">
        <f t="shared" si="13"/>
        <v>100</v>
      </c>
      <c r="V30" s="1557" t="s">
        <v>8</v>
      </c>
      <c r="W30" s="1558">
        <f t="shared" si="14"/>
        <v>100</v>
      </c>
      <c r="X30" s="1551"/>
      <c r="Y30" s="3412"/>
      <c r="Z30" s="1559">
        <f t="shared" si="15"/>
        <v>111</v>
      </c>
      <c r="AA30" s="1560">
        <f t="shared" si="3"/>
        <v>1</v>
      </c>
      <c r="AB30" s="1560">
        <f t="shared" si="4"/>
        <v>1</v>
      </c>
      <c r="AC30" s="1560">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5"/>
      <c r="M31" s="2117"/>
      <c r="N31" s="2117"/>
      <c r="O31" s="2117"/>
      <c r="P31" s="3412"/>
      <c r="Q31" s="1556">
        <f t="shared" si="11"/>
        <v>111</v>
      </c>
      <c r="R31" s="1557" t="s">
        <v>8</v>
      </c>
      <c r="S31" s="1558">
        <f t="shared" si="12"/>
        <v>100</v>
      </c>
      <c r="T31" s="1557" t="s">
        <v>8</v>
      </c>
      <c r="U31" s="1558">
        <f t="shared" si="13"/>
        <v>100</v>
      </c>
      <c r="V31" s="1557" t="s">
        <v>8</v>
      </c>
      <c r="W31" s="1558">
        <f t="shared" si="14"/>
        <v>100</v>
      </c>
      <c r="X31" s="1551"/>
      <c r="Y31" s="3412"/>
      <c r="Z31" s="1559">
        <f t="shared" si="15"/>
        <v>111</v>
      </c>
      <c r="AA31" s="1560">
        <f t="shared" si="3"/>
        <v>1</v>
      </c>
      <c r="AB31" s="1560">
        <f t="shared" si="4"/>
        <v>1</v>
      </c>
      <c r="AC31" s="1560">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5"/>
      <c r="M32" s="2117"/>
      <c r="N32" s="2117"/>
      <c r="O32" s="2117"/>
      <c r="P32" s="3412"/>
      <c r="Q32" s="1556">
        <f t="shared" si="11"/>
        <v>111</v>
      </c>
      <c r="R32" s="1557" t="s">
        <v>8</v>
      </c>
      <c r="S32" s="1558">
        <f t="shared" si="12"/>
        <v>100</v>
      </c>
      <c r="T32" s="1557" t="s">
        <v>8</v>
      </c>
      <c r="U32" s="1558">
        <f t="shared" si="13"/>
        <v>100</v>
      </c>
      <c r="V32" s="1557" t="s">
        <v>8</v>
      </c>
      <c r="W32" s="1558">
        <f t="shared" si="14"/>
        <v>100</v>
      </c>
      <c r="X32" s="1551"/>
      <c r="Y32" s="3412"/>
      <c r="Z32" s="1559">
        <f t="shared" si="15"/>
        <v>111</v>
      </c>
      <c r="AA32" s="1560">
        <f t="shared" si="3"/>
        <v>1</v>
      </c>
      <c r="AB32" s="1560">
        <f t="shared" si="4"/>
        <v>1</v>
      </c>
      <c r="AC32" s="1560">
        <f t="shared" si="5"/>
        <v>1</v>
      </c>
    </row>
    <row r="33" spans="1:29" ht="15">
      <c r="A33" s="2860" t="s">
        <v>2753</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5"/>
      <c r="M33" s="2117"/>
      <c r="N33" s="2117"/>
      <c r="O33" s="2117"/>
      <c r="P33" s="3413" t="s">
        <v>550</v>
      </c>
      <c r="Q33" s="1556" t="str">
        <f t="shared" si="11"/>
        <v>建筑类型</v>
      </c>
      <c r="R33" s="1557" t="s">
        <v>8</v>
      </c>
      <c r="S33" s="1558">
        <f t="shared" si="12"/>
        <v>100</v>
      </c>
      <c r="T33" s="1557" t="s">
        <v>8</v>
      </c>
      <c r="U33" s="1558">
        <f t="shared" si="13"/>
        <v>100</v>
      </c>
      <c r="V33" s="1557" t="s">
        <v>8</v>
      </c>
      <c r="W33" s="1558">
        <f t="shared" si="14"/>
        <v>100</v>
      </c>
      <c r="X33" s="1551"/>
      <c r="Y33" s="3414" t="s">
        <v>550</v>
      </c>
      <c r="Z33" s="1559" t="str">
        <f t="shared" si="15"/>
        <v>建筑类型</v>
      </c>
      <c r="AA33" s="1560">
        <f t="shared" si="3"/>
        <v>1</v>
      </c>
      <c r="AB33" s="1560">
        <f t="shared" si="4"/>
        <v>1</v>
      </c>
      <c r="AC33" s="1560">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14"/>
      <c r="Q34" s="1588" t="str">
        <f t="shared" si="11"/>
        <v>项目建筑规模</v>
      </c>
      <c r="R34" s="1561" t="s">
        <v>8</v>
      </c>
      <c r="S34" s="1562" t="e">
        <f t="shared" si="12"/>
        <v>#N/A</v>
      </c>
      <c r="T34" s="1561" t="s">
        <v>8</v>
      </c>
      <c r="U34" s="1562" t="e">
        <f t="shared" si="13"/>
        <v>#N/A</v>
      </c>
      <c r="V34" s="1561" t="s">
        <v>8</v>
      </c>
      <c r="W34" s="1562" t="e">
        <f t="shared" si="14"/>
        <v>#N/A</v>
      </c>
      <c r="X34" s="1563"/>
      <c r="Y34" s="3414"/>
      <c r="Z34" s="1564" t="str">
        <f t="shared" si="15"/>
        <v>项目建筑规模</v>
      </c>
      <c r="AA34" s="1560" t="e">
        <f t="shared" si="3"/>
        <v>#N/A</v>
      </c>
      <c r="AB34" s="1560" t="e">
        <f t="shared" si="4"/>
        <v>#N/A</v>
      </c>
      <c r="AC34" s="1560"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14"/>
      <c r="Q35" s="1556" t="str">
        <f t="shared" si="11"/>
        <v>建筑结构</v>
      </c>
      <c r="R35" s="1557" t="s">
        <v>8</v>
      </c>
      <c r="S35" s="1558">
        <f t="shared" si="12"/>
        <v>100</v>
      </c>
      <c r="T35" s="1557" t="s">
        <v>8</v>
      </c>
      <c r="U35" s="1558">
        <f t="shared" si="13"/>
        <v>100</v>
      </c>
      <c r="V35" s="1557" t="s">
        <v>8</v>
      </c>
      <c r="W35" s="1558">
        <f t="shared" si="14"/>
        <v>100</v>
      </c>
      <c r="X35" s="1551"/>
      <c r="Y35" s="3414"/>
      <c r="Z35" s="1559" t="str">
        <f t="shared" si="15"/>
        <v>建筑结构</v>
      </c>
      <c r="AA35" s="1560">
        <f t="shared" si="3"/>
        <v>1</v>
      </c>
      <c r="AB35" s="1560">
        <f t="shared" si="4"/>
        <v>1</v>
      </c>
      <c r="AC35" s="1560">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14"/>
      <c r="Q36" s="1556" t="str">
        <f t="shared" si="11"/>
        <v>公共部分装修</v>
      </c>
      <c r="R36" s="1557" t="s">
        <v>8</v>
      </c>
      <c r="S36" s="1558">
        <f t="shared" si="12"/>
        <v>100</v>
      </c>
      <c r="T36" s="1557" t="s">
        <v>8</v>
      </c>
      <c r="U36" s="1558">
        <f t="shared" si="13"/>
        <v>100</v>
      </c>
      <c r="V36" s="1557" t="s">
        <v>8</v>
      </c>
      <c r="W36" s="1558">
        <f t="shared" si="14"/>
        <v>100</v>
      </c>
      <c r="X36" s="1551"/>
      <c r="Y36" s="3414"/>
      <c r="Z36" s="1559" t="str">
        <f t="shared" si="15"/>
        <v>公共部分装修</v>
      </c>
      <c r="AA36" s="1560">
        <f t="shared" si="3"/>
        <v>1</v>
      </c>
      <c r="AB36" s="1560">
        <f t="shared" si="4"/>
        <v>1</v>
      </c>
      <c r="AC36" s="1560">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5"/>
      <c r="M37" s="2117"/>
      <c r="N37" s="2117"/>
      <c r="O37" s="2117"/>
      <c r="P37" s="3414"/>
      <c r="Q37" s="1556" t="str">
        <f t="shared" si="11"/>
        <v>成新度</v>
      </c>
      <c r="R37" s="1557" t="s">
        <v>8</v>
      </c>
      <c r="S37" s="1558" t="e">
        <f t="shared" si="12"/>
        <v>#N/A</v>
      </c>
      <c r="T37" s="1557" t="s">
        <v>8</v>
      </c>
      <c r="U37" s="1558" t="e">
        <f t="shared" si="13"/>
        <v>#N/A</v>
      </c>
      <c r="V37" s="1557" t="s">
        <v>8</v>
      </c>
      <c r="W37" s="1558" t="e">
        <f t="shared" si="14"/>
        <v>#N/A</v>
      </c>
      <c r="X37" s="1551"/>
      <c r="Y37" s="3414"/>
      <c r="Z37" s="1559" t="str">
        <f t="shared" si="15"/>
        <v>成新度</v>
      </c>
      <c r="AA37" s="1560" t="e">
        <f t="shared" si="3"/>
        <v>#N/A</v>
      </c>
      <c r="AB37" s="1560" t="e">
        <f t="shared" si="4"/>
        <v>#N/A</v>
      </c>
      <c r="AC37" s="1560"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14"/>
      <c r="Q38" s="1144" t="str">
        <f t="shared" si="11"/>
        <v>写字楼等级</v>
      </c>
      <c r="R38" s="1552" t="s">
        <v>8</v>
      </c>
      <c r="S38" s="1553">
        <f t="shared" si="12"/>
        <v>100</v>
      </c>
      <c r="T38" s="1552" t="s">
        <v>8</v>
      </c>
      <c r="U38" s="1553">
        <f t="shared" si="13"/>
        <v>100</v>
      </c>
      <c r="V38" s="1552" t="s">
        <v>8</v>
      </c>
      <c r="W38" s="1553">
        <f t="shared" si="14"/>
        <v>100</v>
      </c>
      <c r="X38" s="1554"/>
      <c r="Y38" s="3414"/>
      <c r="Z38" s="1143" t="str">
        <f t="shared" si="15"/>
        <v>写字楼等级</v>
      </c>
      <c r="AA38" s="1555">
        <f t="shared" si="3"/>
        <v>1</v>
      </c>
      <c r="AB38" s="1555">
        <f t="shared" si="4"/>
        <v>1</v>
      </c>
      <c r="AC38" s="1555">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14" t="s">
        <v>550</v>
      </c>
      <c r="Q39" s="1556" t="str">
        <f t="shared" si="11"/>
        <v>物业管理</v>
      </c>
      <c r="R39" s="1557" t="s">
        <v>8</v>
      </c>
      <c r="S39" s="1558">
        <f t="shared" si="12"/>
        <v>100</v>
      </c>
      <c r="T39" s="1557" t="s">
        <v>8</v>
      </c>
      <c r="U39" s="1558">
        <f t="shared" si="13"/>
        <v>100</v>
      </c>
      <c r="V39" s="1557" t="s">
        <v>8</v>
      </c>
      <c r="W39" s="1558">
        <f t="shared" si="14"/>
        <v>100</v>
      </c>
      <c r="X39" s="1551"/>
      <c r="Y39" s="3414" t="s">
        <v>550</v>
      </c>
      <c r="Z39" s="1559" t="str">
        <f t="shared" si="15"/>
        <v>物业管理</v>
      </c>
      <c r="AA39" s="1560">
        <f t="shared" si="3"/>
        <v>1</v>
      </c>
      <c r="AB39" s="1560">
        <f t="shared" si="4"/>
        <v>1</v>
      </c>
      <c r="AC39" s="1560">
        <f t="shared" si="5"/>
        <v>1</v>
      </c>
    </row>
    <row r="40" spans="1:29" ht="15">
      <c r="A40" s="592"/>
      <c r="B40" s="1878"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14"/>
      <c r="Q40" s="1556" t="str">
        <f t="shared" si="11"/>
        <v>市政基础设施</v>
      </c>
      <c r="R40" s="1557" t="s">
        <v>8</v>
      </c>
      <c r="S40" s="1558">
        <f t="shared" si="12"/>
        <v>100</v>
      </c>
      <c r="T40" s="1557" t="s">
        <v>8</v>
      </c>
      <c r="U40" s="1558">
        <f t="shared" si="13"/>
        <v>100</v>
      </c>
      <c r="V40" s="1557" t="s">
        <v>8</v>
      </c>
      <c r="W40" s="1558">
        <f t="shared" si="14"/>
        <v>100</v>
      </c>
      <c r="X40" s="1551"/>
      <c r="Y40" s="3414"/>
      <c r="Z40" s="1559" t="str">
        <f t="shared" si="15"/>
        <v>市政基础设施</v>
      </c>
      <c r="AA40" s="1560">
        <f t="shared" si="3"/>
        <v>1</v>
      </c>
      <c r="AB40" s="1560">
        <f t="shared" si="4"/>
        <v>1</v>
      </c>
      <c r="AC40" s="1560">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14"/>
      <c r="Q41" s="1556" t="str">
        <f t="shared" si="11"/>
        <v>层高</v>
      </c>
      <c r="R41" s="1557" t="s">
        <v>8</v>
      </c>
      <c r="S41" s="1558">
        <f t="shared" si="12"/>
        <v>100</v>
      </c>
      <c r="T41" s="1557" t="s">
        <v>8</v>
      </c>
      <c r="U41" s="1558">
        <f t="shared" si="13"/>
        <v>100</v>
      </c>
      <c r="V41" s="1557" t="s">
        <v>8</v>
      </c>
      <c r="W41" s="1558">
        <f t="shared" si="14"/>
        <v>100</v>
      </c>
      <c r="X41" s="1551"/>
      <c r="Y41" s="3414"/>
      <c r="Z41" s="1559" t="str">
        <f t="shared" si="15"/>
        <v>层高</v>
      </c>
      <c r="AA41" s="1560">
        <f t="shared" si="3"/>
        <v>1</v>
      </c>
      <c r="AB41" s="1560">
        <f t="shared" si="4"/>
        <v>1</v>
      </c>
      <c r="AC41" s="1560">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14"/>
      <c r="Q42" s="1588" t="str">
        <f t="shared" si="11"/>
        <v>单套建筑面积</v>
      </c>
      <c r="R42" s="1561" t="s">
        <v>8</v>
      </c>
      <c r="S42" s="1562">
        <f t="shared" si="12"/>
        <v>100</v>
      </c>
      <c r="T42" s="1561" t="s">
        <v>8</v>
      </c>
      <c r="U42" s="1562">
        <f t="shared" si="13"/>
        <v>100</v>
      </c>
      <c r="V42" s="1561" t="s">
        <v>8</v>
      </c>
      <c r="W42" s="1562">
        <f t="shared" si="14"/>
        <v>100</v>
      </c>
      <c r="X42" s="1563"/>
      <c r="Y42" s="3414"/>
      <c r="Z42" s="1564" t="str">
        <f t="shared" si="15"/>
        <v>单套建筑面积</v>
      </c>
      <c r="AA42" s="1560">
        <f t="shared" si="3"/>
        <v>1</v>
      </c>
      <c r="AB42" s="1560">
        <f t="shared" si="4"/>
        <v>1</v>
      </c>
      <c r="AC42" s="1560">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14"/>
      <c r="Q43" s="1556" t="str">
        <f t="shared" si="11"/>
        <v>内部装修</v>
      </c>
      <c r="R43" s="1557" t="s">
        <v>8</v>
      </c>
      <c r="S43" s="1558">
        <f t="shared" si="12"/>
        <v>100</v>
      </c>
      <c r="T43" s="1557" t="s">
        <v>8</v>
      </c>
      <c r="U43" s="1558">
        <f t="shared" si="13"/>
        <v>100</v>
      </c>
      <c r="V43" s="1557" t="s">
        <v>8</v>
      </c>
      <c r="W43" s="1558">
        <f t="shared" si="14"/>
        <v>100</v>
      </c>
      <c r="X43" s="1551"/>
      <c r="Y43" s="3414"/>
      <c r="Z43" s="1559" t="str">
        <f t="shared" si="15"/>
        <v>内部装修</v>
      </c>
      <c r="AA43" s="1560">
        <f t="shared" si="3"/>
        <v>1</v>
      </c>
      <c r="AB43" s="1560">
        <f t="shared" si="4"/>
        <v>1</v>
      </c>
      <c r="AC43" s="1560">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14"/>
      <c r="Q44" s="1556" t="str">
        <f t="shared" si="11"/>
        <v>内部装修维护情况</v>
      </c>
      <c r="R44" s="1557" t="s">
        <v>8</v>
      </c>
      <c r="S44" s="1558">
        <f t="shared" si="12"/>
        <v>100</v>
      </c>
      <c r="T44" s="1557" t="s">
        <v>8</v>
      </c>
      <c r="U44" s="1558">
        <f t="shared" si="13"/>
        <v>100</v>
      </c>
      <c r="V44" s="1557" t="s">
        <v>8</v>
      </c>
      <c r="W44" s="1558">
        <f t="shared" si="14"/>
        <v>100</v>
      </c>
      <c r="X44" s="1551"/>
      <c r="Y44" s="3414"/>
      <c r="Z44" s="1559" t="str">
        <f t="shared" si="15"/>
        <v>内部装修维护情况</v>
      </c>
      <c r="AA44" s="1560">
        <f t="shared" si="3"/>
        <v>1</v>
      </c>
      <c r="AB44" s="1560">
        <f t="shared" si="4"/>
        <v>1</v>
      </c>
      <c r="AC44" s="1560">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14"/>
      <c r="Q45" s="1144">
        <f t="shared" si="11"/>
        <v>111</v>
      </c>
      <c r="R45" s="1552" t="s">
        <v>8</v>
      </c>
      <c r="S45" s="1553">
        <f t="shared" si="12"/>
        <v>100</v>
      </c>
      <c r="T45" s="1552" t="s">
        <v>8</v>
      </c>
      <c r="U45" s="1553">
        <f t="shared" si="13"/>
        <v>100</v>
      </c>
      <c r="V45" s="1552" t="s">
        <v>8</v>
      </c>
      <c r="W45" s="1553">
        <f t="shared" si="14"/>
        <v>100</v>
      </c>
      <c r="X45" s="1554"/>
      <c r="Y45" s="3414"/>
      <c r="Z45" s="1143">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14"/>
      <c r="Q46" s="1556">
        <f t="shared" si="11"/>
        <v>111</v>
      </c>
      <c r="R46" s="1557" t="s">
        <v>8</v>
      </c>
      <c r="S46" s="1558">
        <f t="shared" si="12"/>
        <v>100</v>
      </c>
      <c r="T46" s="1557" t="s">
        <v>8</v>
      </c>
      <c r="U46" s="1558">
        <f t="shared" si="13"/>
        <v>100</v>
      </c>
      <c r="V46" s="1557" t="s">
        <v>8</v>
      </c>
      <c r="W46" s="1558">
        <f t="shared" si="14"/>
        <v>100</v>
      </c>
      <c r="X46" s="1551"/>
      <c r="Y46" s="3414"/>
      <c r="Z46" s="1559">
        <f t="shared" si="15"/>
        <v>111</v>
      </c>
      <c r="AA46" s="1560">
        <f t="shared" si="3"/>
        <v>1</v>
      </c>
      <c r="AB46" s="1560">
        <f t="shared" si="4"/>
        <v>1</v>
      </c>
      <c r="AC46" s="1560">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472"/>
      <c r="Q47" s="1556">
        <f t="shared" si="11"/>
        <v>111</v>
      </c>
      <c r="R47" s="1557" t="s">
        <v>8</v>
      </c>
      <c r="S47" s="1558">
        <f t="shared" si="12"/>
        <v>100</v>
      </c>
      <c r="T47" s="1557" t="s">
        <v>8</v>
      </c>
      <c r="U47" s="1558">
        <f t="shared" si="13"/>
        <v>100</v>
      </c>
      <c r="V47" s="1557" t="s">
        <v>8</v>
      </c>
      <c r="W47" s="1558">
        <f t="shared" si="14"/>
        <v>100</v>
      </c>
      <c r="X47" s="1551"/>
      <c r="Y47" s="3472"/>
      <c r="Z47" s="1559">
        <f t="shared" si="15"/>
        <v>111</v>
      </c>
      <c r="AA47" s="1560">
        <f t="shared" si="3"/>
        <v>1</v>
      </c>
      <c r="AB47" s="1560">
        <f t="shared" si="4"/>
        <v>1</v>
      </c>
      <c r="AC47" s="1560">
        <f t="shared" si="5"/>
        <v>1</v>
      </c>
    </row>
    <row r="48" spans="1:29" ht="15">
      <c r="A48" s="605" t="s">
        <v>736</v>
      </c>
      <c r="B48" s="884"/>
      <c r="C48" s="2589" t="s">
        <v>1</v>
      </c>
      <c r="D48" s="2590"/>
      <c r="E48" s="2591"/>
      <c r="F48" s="2592"/>
      <c r="G48" s="2593"/>
      <c r="H48" s="2594"/>
      <c r="I48" s="2591"/>
      <c r="J48" s="2594"/>
      <c r="K48" s="1594"/>
      <c r="L48" s="2127"/>
      <c r="M48" s="2117"/>
      <c r="N48" s="2117"/>
      <c r="O48" s="2117"/>
      <c r="P48" s="3373" t="str">
        <f>A48</f>
        <v>成交单价（元/平方米）</v>
      </c>
      <c r="Q48" s="3375"/>
      <c r="R48" s="3471">
        <f>E48</f>
        <v>0</v>
      </c>
      <c r="S48" s="3471"/>
      <c r="T48" s="3471">
        <f>G48</f>
        <v>0</v>
      </c>
      <c r="U48" s="3471"/>
      <c r="V48" s="3471">
        <f>I48</f>
        <v>0</v>
      </c>
      <c r="W48" s="3471"/>
      <c r="X48" s="1543"/>
      <c r="Y48" s="1565"/>
      <c r="Z48" s="1543"/>
      <c r="AA48" s="1543"/>
      <c r="AB48" s="1543"/>
      <c r="AC48" s="1543"/>
    </row>
    <row r="49" spans="1:29" ht="15.75" thickBot="1">
      <c r="A49" s="613" t="s">
        <v>2758</v>
      </c>
      <c r="B49" s="885"/>
      <c r="C49" s="2595" t="e">
        <f>R50</f>
        <v>#DIV/0!</v>
      </c>
      <c r="D49" s="2596"/>
      <c r="E49" s="2597" t="e">
        <f>R49</f>
        <v>#DIV/0!</v>
      </c>
      <c r="F49" s="2597"/>
      <c r="G49" s="2595" t="e">
        <f>T49</f>
        <v>#DIV/0!</v>
      </c>
      <c r="H49" s="2596"/>
      <c r="I49" s="2597" t="e">
        <f>V49</f>
        <v>#DIV/0!</v>
      </c>
      <c r="J49" s="2596"/>
      <c r="K49" s="1595"/>
      <c r="L49" s="2127"/>
      <c r="M49" s="2117"/>
      <c r="N49" s="2117"/>
      <c r="O49" s="2117"/>
      <c r="P49" s="3373" t="str">
        <f>A49</f>
        <v>比较价格（元/平方米）</v>
      </c>
      <c r="Q49" s="3375"/>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3"/>
      <c r="Y49" s="1543"/>
      <c r="Z49" s="1543"/>
      <c r="AA49" s="1543"/>
      <c r="AB49" s="1543"/>
      <c r="AC49" s="1543"/>
    </row>
    <row r="50" spans="1:29" ht="15.75" thickBot="1">
      <c r="A50" s="619" t="s">
        <v>2933</v>
      </c>
      <c r="B50" s="620"/>
      <c r="C50" s="2598" t="e">
        <f>R50</f>
        <v>#DIV/0!</v>
      </c>
      <c r="D50" s="2598"/>
      <c r="E50" s="2598"/>
      <c r="F50" s="2598"/>
      <c r="G50" s="2598"/>
      <c r="H50" s="2598"/>
      <c r="I50" s="2598"/>
      <c r="J50" s="2598"/>
      <c r="K50" s="1596"/>
      <c r="L50" s="2127"/>
      <c r="M50" s="2117"/>
      <c r="N50" s="2117"/>
      <c r="O50" s="2117"/>
      <c r="P50" s="3499" t="str">
        <f>A50</f>
        <v>估价对象XX用房的比较价格（楼面单价，元/平方米）</v>
      </c>
      <c r="Q50" s="3373"/>
      <c r="R50" s="3470" t="e">
        <f>IF(F1="售价",ROUND(AVERAGE(R49:V49),0),ROUND(AVERAGE(R49:V49),1))</f>
        <v>#DIV/0!</v>
      </c>
      <c r="S50" s="3470"/>
      <c r="T50" s="3470"/>
      <c r="U50" s="3470"/>
      <c r="V50" s="3470"/>
      <c r="W50" s="347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3" t="s">
        <v>529</v>
      </c>
      <c r="B59" s="644"/>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3"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3"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3"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7"/>
      <c r="B63" s="646"/>
      <c r="C63" s="886">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2555</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2556</v>
      </c>
      <c r="C83" s="2560" t="s">
        <v>2557</v>
      </c>
      <c r="D83" s="2560" t="s">
        <v>2558</v>
      </c>
      <c r="E83" s="2560" t="s">
        <v>2559</v>
      </c>
      <c r="F83" s="2560" t="s">
        <v>2560</v>
      </c>
      <c r="G83" s="2560" t="s">
        <v>2561</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784</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7"/>
      <c r="B87" s="671" t="s">
        <v>785</v>
      </c>
      <c r="C87" s="686"/>
      <c r="D87" s="686"/>
      <c r="E87" s="686"/>
      <c r="F87" s="686"/>
      <c r="G87" s="686"/>
      <c r="H87" s="686"/>
      <c r="I87" s="686"/>
      <c r="J87" s="686"/>
      <c r="K87" s="686"/>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7"/>
      <c r="B89" s="671" t="str">
        <f>B27</f>
        <v>楼层</v>
      </c>
      <c r="C89" s="686"/>
      <c r="D89" s="686"/>
      <c r="E89" s="686"/>
      <c r="F89" s="889"/>
      <c r="G89" s="686"/>
      <c r="H89" s="686"/>
      <c r="I89" s="686"/>
      <c r="J89" s="686"/>
      <c r="K89" s="686"/>
      <c r="L89" s="686"/>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0"/>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551</v>
      </c>
      <c r="B101" s="663" t="s">
        <v>747</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749</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751</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6"/>
      <c r="B113" s="671" t="s">
        <v>786</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753</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2554</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4" t="s">
        <v>787</v>
      </c>
      <c r="C119" s="716"/>
      <c r="D119" s="716"/>
      <c r="E119" s="716"/>
      <c r="F119" s="716"/>
      <c r="G119" s="716"/>
      <c r="H119" s="716"/>
      <c r="I119" s="716"/>
      <c r="J119" s="716"/>
      <c r="K119" s="716"/>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6"/>
      <c r="B121" s="671" t="s">
        <v>775</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755</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29" customFormat="1" ht="28.5" customHeight="1">
      <c r="A2" s="421"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29" customFormat="1" ht="28.5" customHeight="1" thickBot="1">
      <c r="A3" s="507" t="s">
        <v>519</v>
      </c>
      <c r="B3" s="508"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521</v>
      </c>
      <c r="B4" s="511"/>
      <c r="C4" s="3381" t="s">
        <v>522</v>
      </c>
      <c r="D4" s="3382"/>
      <c r="E4" s="3417" t="s">
        <v>523</v>
      </c>
      <c r="F4" s="3418"/>
      <c r="G4" s="3381" t="s">
        <v>524</v>
      </c>
      <c r="H4" s="3382"/>
      <c r="I4" s="3381" t="s">
        <v>525</v>
      </c>
      <c r="J4" s="3382"/>
      <c r="K4" s="512" t="s">
        <v>526</v>
      </c>
      <c r="L4" s="2116"/>
      <c r="M4" s="2117"/>
      <c r="N4" s="2117"/>
      <c r="O4" s="2117"/>
      <c r="P4" s="3383" t="s">
        <v>527</v>
      </c>
      <c r="Q4" s="3384"/>
      <c r="R4" s="3389" t="s">
        <v>523</v>
      </c>
      <c r="S4" s="3390"/>
      <c r="T4" s="3389" t="s">
        <v>524</v>
      </c>
      <c r="U4" s="3390"/>
      <c r="V4" s="3376" t="s">
        <v>525</v>
      </c>
      <c r="W4" s="3376"/>
      <c r="X4" s="1551"/>
      <c r="Y4" s="3389" t="s">
        <v>527</v>
      </c>
      <c r="Z4" s="3390"/>
      <c r="AA4" s="3378" t="s">
        <v>523</v>
      </c>
      <c r="AB4" s="3379" t="s">
        <v>524</v>
      </c>
      <c r="AC4" s="3378" t="s">
        <v>525</v>
      </c>
    </row>
    <row r="5" spans="1:29" ht="15">
      <c r="A5" s="513"/>
      <c r="B5" s="514"/>
      <c r="C5" s="3399" t="s">
        <v>2927</v>
      </c>
      <c r="D5" s="3400"/>
      <c r="E5" s="3419" t="s">
        <v>2928</v>
      </c>
      <c r="F5" s="3420"/>
      <c r="G5" s="3399" t="s">
        <v>2929</v>
      </c>
      <c r="H5" s="3400"/>
      <c r="I5" s="3399" t="s">
        <v>2930</v>
      </c>
      <c r="J5" s="3400"/>
      <c r="K5" s="512"/>
      <c r="L5" s="2116"/>
      <c r="M5" s="2117"/>
      <c r="N5" s="2117"/>
      <c r="O5" s="2117"/>
      <c r="P5" s="3385"/>
      <c r="Q5" s="3386"/>
      <c r="R5" s="3391"/>
      <c r="S5" s="3392"/>
      <c r="T5" s="3391"/>
      <c r="U5" s="3392"/>
      <c r="V5" s="3376"/>
      <c r="W5" s="3376"/>
      <c r="X5" s="1551"/>
      <c r="Y5" s="3391"/>
      <c r="Z5" s="3392"/>
      <c r="AA5" s="3379"/>
      <c r="AB5" s="3379"/>
      <c r="AC5" s="3379"/>
    </row>
    <row r="6" spans="1:29" ht="15.75" thickBot="1">
      <c r="A6" s="515"/>
      <c r="B6" s="516"/>
      <c r="C6" s="3395" t="s">
        <v>2931</v>
      </c>
      <c r="D6" s="3396"/>
      <c r="E6" s="3415" t="s">
        <v>2931</v>
      </c>
      <c r="F6" s="3416"/>
      <c r="G6" s="3395" t="s">
        <v>2931</v>
      </c>
      <c r="H6" s="3396"/>
      <c r="I6" s="3395" t="s">
        <v>2931</v>
      </c>
      <c r="J6" s="3396"/>
      <c r="K6" s="512" t="s">
        <v>528</v>
      </c>
      <c r="L6" s="2116"/>
      <c r="M6" s="2117"/>
      <c r="N6" s="2117"/>
      <c r="O6" s="2117"/>
      <c r="P6" s="3387"/>
      <c r="Q6" s="3388"/>
      <c r="R6" s="3391"/>
      <c r="S6" s="3392"/>
      <c r="T6" s="3393"/>
      <c r="U6" s="3394"/>
      <c r="V6" s="3376"/>
      <c r="W6" s="3376"/>
      <c r="X6" s="1551"/>
      <c r="Y6" s="3393"/>
      <c r="Z6" s="3394"/>
      <c r="AA6" s="3380"/>
      <c r="AB6" s="3380"/>
      <c r="AC6" s="3380"/>
    </row>
    <row r="7" spans="1:29" s="1213" customFormat="1" ht="15.75" thickBot="1">
      <c r="A7" s="2865"/>
      <c r="B7" s="2872" t="s">
        <v>529</v>
      </c>
      <c r="C7" s="517">
        <f>'数据-取费表'!B2</f>
        <v>43665</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08" t="s">
        <v>530</v>
      </c>
      <c r="Q7" s="3410"/>
      <c r="R7" s="1552" t="s">
        <v>8</v>
      </c>
      <c r="S7" s="1553">
        <f t="shared" ref="S7:S15" si="0">F7</f>
        <v>0</v>
      </c>
      <c r="T7" s="1552" t="s">
        <v>8</v>
      </c>
      <c r="U7" s="1553">
        <f t="shared" ref="U7:U15" si="1">H7</f>
        <v>0</v>
      </c>
      <c r="V7" s="1552" t="s">
        <v>8</v>
      </c>
      <c r="W7" s="1553">
        <f t="shared" ref="W7:W15" si="2">J7</f>
        <v>0</v>
      </c>
      <c r="X7" s="1554"/>
      <c r="Y7" s="3408" t="s">
        <v>530</v>
      </c>
      <c r="Z7" s="3409"/>
      <c r="AA7" s="1555" t="e">
        <f>D7/F7</f>
        <v>#DIV/0!</v>
      </c>
      <c r="AB7" s="1555" t="e">
        <f>D7/H7</f>
        <v>#DIV/0!</v>
      </c>
      <c r="AC7" s="1555" t="e">
        <f>D7/J7</f>
        <v>#DIV/0!</v>
      </c>
    </row>
    <row r="8" spans="1:29" s="1213" customFormat="1" ht="15.75" thickBot="1">
      <c r="A8" s="2866"/>
      <c r="B8" s="2873" t="s">
        <v>531</v>
      </c>
      <c r="C8" s="523" t="s">
        <v>576</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08" t="s">
        <v>533</v>
      </c>
      <c r="Q8" s="3409"/>
      <c r="R8" s="1552" t="s">
        <v>8</v>
      </c>
      <c r="S8" s="1553">
        <f t="shared" si="0"/>
        <v>0</v>
      </c>
      <c r="T8" s="1552" t="s">
        <v>8</v>
      </c>
      <c r="U8" s="1553">
        <f t="shared" si="1"/>
        <v>0</v>
      </c>
      <c r="V8" s="1552" t="s">
        <v>8</v>
      </c>
      <c r="W8" s="1553">
        <f t="shared" si="2"/>
        <v>0</v>
      </c>
      <c r="X8" s="1554"/>
      <c r="Y8" s="3408" t="s">
        <v>533</v>
      </c>
      <c r="Z8" s="3409"/>
      <c r="AA8" s="1555" t="e">
        <f t="shared" ref="AA8:AA40" si="3">D8/F8</f>
        <v>#DIV/0!</v>
      </c>
      <c r="AB8" s="1555" t="e">
        <f t="shared" ref="AB8:AB40" si="4">D8/H8</f>
        <v>#DIV/0!</v>
      </c>
      <c r="AC8" s="1555" t="e">
        <f t="shared" ref="AC8:AC40" si="5">D8/J8</f>
        <v>#DIV/0!</v>
      </c>
    </row>
    <row r="9" spans="1:29" s="1213" customFormat="1" ht="15">
      <c r="A9" s="2867"/>
      <c r="B9" s="2874" t="s">
        <v>2754</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375" t="s">
        <v>535</v>
      </c>
      <c r="Q9" s="1144" t="str">
        <f t="shared" ref="Q9:Q15" si="6">B9</f>
        <v>用途</v>
      </c>
      <c r="R9" s="1552" t="s">
        <v>8</v>
      </c>
      <c r="S9" s="1553">
        <f t="shared" si="0"/>
        <v>100</v>
      </c>
      <c r="T9" s="1552" t="s">
        <v>8</v>
      </c>
      <c r="U9" s="1553">
        <f t="shared" si="1"/>
        <v>100</v>
      </c>
      <c r="V9" s="1552" t="s">
        <v>8</v>
      </c>
      <c r="W9" s="1553">
        <f t="shared" si="2"/>
        <v>100</v>
      </c>
      <c r="X9" s="1554"/>
      <c r="Y9" s="3321" t="s">
        <v>536</v>
      </c>
      <c r="Z9" s="1143" t="str">
        <f t="shared" ref="Z9:Z15" si="7">Q9</f>
        <v>用途</v>
      </c>
      <c r="AA9" s="1555">
        <f t="shared" si="3"/>
        <v>1</v>
      </c>
      <c r="AB9" s="1555">
        <f t="shared" si="4"/>
        <v>1</v>
      </c>
      <c r="AC9" s="1555">
        <f t="shared" si="5"/>
        <v>1</v>
      </c>
    </row>
    <row r="10" spans="1:29" s="1331" customFormat="1" ht="27">
      <c r="A10" s="2868"/>
      <c r="B10" s="2873" t="s">
        <v>2755</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375"/>
      <c r="Q10" s="1144" t="str">
        <f t="shared" si="6"/>
        <v>土地使用年限（年）</v>
      </c>
      <c r="R10" s="1552" t="s">
        <v>8</v>
      </c>
      <c r="S10" s="1553">
        <f t="shared" si="0"/>
        <v>100</v>
      </c>
      <c r="T10" s="1552" t="s">
        <v>8</v>
      </c>
      <c r="U10" s="1553">
        <f t="shared" si="1"/>
        <v>100</v>
      </c>
      <c r="V10" s="1552" t="s">
        <v>8</v>
      </c>
      <c r="W10" s="1553">
        <f t="shared" si="2"/>
        <v>100</v>
      </c>
      <c r="X10" s="1554"/>
      <c r="Y10" s="3321"/>
      <c r="Z10" s="1143"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375"/>
      <c r="Q11" s="1144" t="str">
        <f t="shared" si="6"/>
        <v>容积率</v>
      </c>
      <c r="R11" s="1552" t="s">
        <v>8</v>
      </c>
      <c r="S11" s="1553" t="e">
        <f t="shared" si="0"/>
        <v>#N/A</v>
      </c>
      <c r="T11" s="1552" t="s">
        <v>8</v>
      </c>
      <c r="U11" s="1553" t="e">
        <f t="shared" si="1"/>
        <v>#N/A</v>
      </c>
      <c r="V11" s="1552" t="s">
        <v>8</v>
      </c>
      <c r="W11" s="1553" t="e">
        <f t="shared" si="2"/>
        <v>#N/A</v>
      </c>
      <c r="X11" s="1554"/>
      <c r="Y11" s="3321"/>
      <c r="Z11" s="1143" t="str">
        <f t="shared" si="7"/>
        <v>容积率</v>
      </c>
      <c r="AA11" s="1555" t="e">
        <f t="shared" si="3"/>
        <v>#N/A</v>
      </c>
      <c r="AB11" s="1555" t="e">
        <f t="shared" si="4"/>
        <v>#N/A</v>
      </c>
      <c r="AC11" s="1555" t="e">
        <f t="shared" si="5"/>
        <v>#N/A</v>
      </c>
    </row>
    <row r="12" spans="1:29" s="1213" customFormat="1" ht="15">
      <c r="A12" s="2870"/>
      <c r="B12" s="2876">
        <v>111</v>
      </c>
      <c r="C12" s="526"/>
      <c r="D12" s="536">
        <v>100</v>
      </c>
      <c r="E12" s="537"/>
      <c r="F12" s="253">
        <f>SUMIF(64:64,E12,65:65)-SUMIF(64:64,C12,65:65)+100</f>
        <v>100</v>
      </c>
      <c r="G12" s="917"/>
      <c r="H12" s="253">
        <f>SUMIF(64:64,G12,65:65)-SUMIF(64:64,C12,65:65)+100</f>
        <v>100</v>
      </c>
      <c r="I12" s="877"/>
      <c r="J12" s="253">
        <f>SUMIF(64:64,I12,65:65)-SUMIF(64:64,C12,65:65)+100</f>
        <v>100</v>
      </c>
      <c r="K12" s="579"/>
      <c r="L12" s="2118"/>
      <c r="M12" s="2119"/>
      <c r="N12" s="2119"/>
      <c r="O12" s="2120"/>
      <c r="P12" s="3375"/>
      <c r="Q12" s="1144">
        <f t="shared" si="6"/>
        <v>111</v>
      </c>
      <c r="R12" s="1552" t="s">
        <v>8</v>
      </c>
      <c r="S12" s="1553">
        <f t="shared" si="0"/>
        <v>100</v>
      </c>
      <c r="T12" s="1552" t="s">
        <v>8</v>
      </c>
      <c r="U12" s="1553">
        <f t="shared" si="1"/>
        <v>100</v>
      </c>
      <c r="V12" s="1552" t="s">
        <v>8</v>
      </c>
      <c r="W12" s="1553">
        <f t="shared" si="2"/>
        <v>100</v>
      </c>
      <c r="X12" s="1554"/>
      <c r="Y12" s="3321"/>
      <c r="Z12" s="1143">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7"/>
      <c r="H13" s="538">
        <f>SUMIF(66:66,G13,67:67)-SUMIF(66:66,C13,67:67)+100</f>
        <v>100</v>
      </c>
      <c r="I13" s="877"/>
      <c r="J13" s="538">
        <f>SUMIF(66:66,I13,67:67)-SUMIF(66:66,C13,67:67)+100</f>
        <v>100</v>
      </c>
      <c r="K13" s="579"/>
      <c r="L13" s="2125"/>
      <c r="M13" s="2117"/>
      <c r="N13" s="2117"/>
      <c r="O13" s="2124"/>
      <c r="P13" s="3375"/>
      <c r="Q13" s="1144">
        <f t="shared" si="6"/>
        <v>111</v>
      </c>
      <c r="R13" s="1552" t="s">
        <v>8</v>
      </c>
      <c r="S13" s="1553">
        <f t="shared" si="0"/>
        <v>100</v>
      </c>
      <c r="T13" s="1552" t="s">
        <v>8</v>
      </c>
      <c r="U13" s="1553">
        <f t="shared" si="1"/>
        <v>100</v>
      </c>
      <c r="V13" s="1552" t="s">
        <v>8</v>
      </c>
      <c r="W13" s="1553">
        <f t="shared" si="2"/>
        <v>100</v>
      </c>
      <c r="X13" s="1554"/>
      <c r="Y13" s="3321"/>
      <c r="Z13" s="1143">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7"/>
      <c r="H14" s="544">
        <f>SUMIF(68:68,G14,69:69)-SUMIF(68:68,C14,69:69)+100</f>
        <v>100</v>
      </c>
      <c r="I14" s="877"/>
      <c r="J14" s="544">
        <f>SUMIF(68:68,I14,69:69)-SUMIF(68:68,C14,69:69)+100</f>
        <v>100</v>
      </c>
      <c r="K14" s="579"/>
      <c r="L14" s="2125"/>
      <c r="M14" s="2117"/>
      <c r="N14" s="2117"/>
      <c r="O14" s="2124"/>
      <c r="P14" s="3375"/>
      <c r="Q14" s="1144">
        <f t="shared" si="6"/>
        <v>111</v>
      </c>
      <c r="R14" s="1552" t="s">
        <v>8</v>
      </c>
      <c r="S14" s="1553">
        <f t="shared" si="0"/>
        <v>100</v>
      </c>
      <c r="T14" s="1552" t="s">
        <v>8</v>
      </c>
      <c r="U14" s="1553">
        <f t="shared" si="1"/>
        <v>100</v>
      </c>
      <c r="V14" s="1552" t="s">
        <v>8</v>
      </c>
      <c r="W14" s="1553">
        <f t="shared" si="2"/>
        <v>100</v>
      </c>
      <c r="X14" s="1554"/>
      <c r="Y14" s="3321"/>
      <c r="Z14" s="1143">
        <f t="shared" si="7"/>
        <v>111</v>
      </c>
      <c r="AA14" s="1555">
        <f t="shared" si="3"/>
        <v>1</v>
      </c>
      <c r="AB14" s="1555">
        <f t="shared" si="4"/>
        <v>1</v>
      </c>
      <c r="AC14" s="1555">
        <f t="shared" si="5"/>
        <v>1</v>
      </c>
    </row>
    <row r="15" spans="1:29" ht="57">
      <c r="A15" s="2863" t="s">
        <v>2752</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5"/>
      <c r="M15" s="2117"/>
      <c r="N15" s="2117"/>
      <c r="O15" s="2124"/>
      <c r="P15" s="3411" t="s">
        <v>540</v>
      </c>
      <c r="Q15" s="1556" t="str">
        <f t="shared" si="6"/>
        <v>产业集聚程度</v>
      </c>
      <c r="R15" s="1557" t="s">
        <v>8</v>
      </c>
      <c r="S15" s="1558">
        <f t="shared" si="0"/>
        <v>100</v>
      </c>
      <c r="T15" s="1557" t="s">
        <v>8</v>
      </c>
      <c r="U15" s="1558">
        <f t="shared" si="1"/>
        <v>100</v>
      </c>
      <c r="V15" s="1557" t="s">
        <v>8</v>
      </c>
      <c r="W15" s="1558">
        <f t="shared" si="2"/>
        <v>100</v>
      </c>
      <c r="X15" s="1551"/>
      <c r="Y15" s="3411" t="s">
        <v>540</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6"/>
      <c r="L16" s="2125"/>
      <c r="M16" s="2117"/>
      <c r="N16" s="2117"/>
      <c r="O16" s="2124"/>
      <c r="P16" s="3412"/>
      <c r="Q16" s="1556"/>
      <c r="R16" s="1557"/>
      <c r="S16" s="1558"/>
      <c r="T16" s="1557"/>
      <c r="U16" s="1558"/>
      <c r="V16" s="1557"/>
      <c r="W16" s="1558"/>
      <c r="X16" s="1551"/>
      <c r="Y16" s="3412"/>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5"/>
      <c r="M17" s="2117"/>
      <c r="N17" s="2117"/>
      <c r="O17" s="2124"/>
      <c r="P17" s="3412"/>
      <c r="Q17" s="1556" t="str">
        <f>B17</f>
        <v>交通便捷度</v>
      </c>
      <c r="R17" s="1557" t="s">
        <v>8</v>
      </c>
      <c r="S17" s="1558">
        <f>F17</f>
        <v>100</v>
      </c>
      <c r="T17" s="1557" t="s">
        <v>8</v>
      </c>
      <c r="U17" s="1558">
        <f>H17</f>
        <v>100</v>
      </c>
      <c r="V17" s="1557" t="s">
        <v>8</v>
      </c>
      <c r="W17" s="1558">
        <f>J17</f>
        <v>100</v>
      </c>
      <c r="X17" s="1551"/>
      <c r="Y17" s="3412"/>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6"/>
      <c r="L18" s="2125"/>
      <c r="M18" s="2117"/>
      <c r="N18" s="2117"/>
      <c r="O18" s="2124"/>
      <c r="P18" s="3412"/>
      <c r="Q18" s="1556"/>
      <c r="R18" s="1557"/>
      <c r="S18" s="1558"/>
      <c r="T18" s="1557"/>
      <c r="U18" s="1558"/>
      <c r="V18" s="1557"/>
      <c r="W18" s="1558"/>
      <c r="X18" s="1551"/>
      <c r="Y18" s="3412"/>
      <c r="Z18" s="1559"/>
      <c r="AA18" s="1560">
        <v>1</v>
      </c>
      <c r="AB18" s="1560">
        <v>1</v>
      </c>
      <c r="AC18" s="1560">
        <v>1</v>
      </c>
    </row>
    <row r="19" spans="1:29" ht="42.75">
      <c r="A19" s="530"/>
      <c r="B19" s="2565"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5"/>
      <c r="M19" s="2117"/>
      <c r="N19" s="2117"/>
      <c r="O19" s="2124"/>
      <c r="P19" s="3412"/>
      <c r="Q19" s="1556" t="str">
        <f>B19</f>
        <v>公共配套设施</v>
      </c>
      <c r="R19" s="1557" t="s">
        <v>8</v>
      </c>
      <c r="S19" s="1558">
        <f>F19</f>
        <v>100</v>
      </c>
      <c r="T19" s="1557" t="s">
        <v>8</v>
      </c>
      <c r="U19" s="1558">
        <f>H19</f>
        <v>100</v>
      </c>
      <c r="V19" s="1557" t="s">
        <v>8</v>
      </c>
      <c r="W19" s="1558">
        <f>J19</f>
        <v>100</v>
      </c>
      <c r="X19" s="1551"/>
      <c r="Y19" s="3412"/>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6"/>
      <c r="L20" s="2125"/>
      <c r="M20" s="2117"/>
      <c r="N20" s="2117"/>
      <c r="O20" s="2124"/>
      <c r="P20" s="3412"/>
      <c r="Q20" s="1556"/>
      <c r="R20" s="1557"/>
      <c r="S20" s="1558"/>
      <c r="T20" s="1557"/>
      <c r="U20" s="1558"/>
      <c r="V20" s="1557"/>
      <c r="W20" s="1558"/>
      <c r="X20" s="1551"/>
      <c r="Y20" s="3412"/>
      <c r="Z20" s="1559"/>
      <c r="AA20" s="1560">
        <v>1</v>
      </c>
      <c r="AB20" s="1560">
        <v>1</v>
      </c>
      <c r="AC20" s="1560">
        <v>1</v>
      </c>
    </row>
    <row r="21" spans="1:29" ht="28.5">
      <c r="A21" s="530"/>
      <c r="B21" s="2553"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5"/>
      <c r="M21" s="2117"/>
      <c r="N21" s="2117"/>
      <c r="O21" s="2124"/>
      <c r="P21" s="3412"/>
      <c r="Q21" s="2541" t="str">
        <f>B21</f>
        <v>基础设施水平</v>
      </c>
      <c r="R21" s="1557" t="s">
        <v>8</v>
      </c>
      <c r="S21" s="1558">
        <f>F21</f>
        <v>100</v>
      </c>
      <c r="T21" s="1557" t="s">
        <v>8</v>
      </c>
      <c r="U21" s="1558">
        <f>H21</f>
        <v>100</v>
      </c>
      <c r="V21" s="1557" t="s">
        <v>8</v>
      </c>
      <c r="W21" s="1558">
        <f>J21</f>
        <v>100</v>
      </c>
      <c r="X21" s="2543"/>
      <c r="Y21" s="3412"/>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12"/>
      <c r="Q22" s="2541"/>
      <c r="R22" s="1557"/>
      <c r="S22" s="1558"/>
      <c r="T22" s="1557"/>
      <c r="U22" s="1558"/>
      <c r="V22" s="1557"/>
      <c r="W22" s="1558"/>
      <c r="X22" s="2543"/>
      <c r="Y22" s="3412"/>
      <c r="Z22" s="2542"/>
      <c r="AA22" s="1560">
        <v>1</v>
      </c>
      <c r="AB22" s="1560">
        <v>1</v>
      </c>
      <c r="AC22" s="1560">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5"/>
      <c r="M23" s="2117"/>
      <c r="N23" s="2117"/>
      <c r="O23" s="2124"/>
      <c r="P23" s="3412"/>
      <c r="Q23" s="1556" t="str">
        <f>B23</f>
        <v>环境质量</v>
      </c>
      <c r="R23" s="1557" t="s">
        <v>8</v>
      </c>
      <c r="S23" s="1558">
        <f>F23</f>
        <v>100</v>
      </c>
      <c r="T23" s="1557" t="s">
        <v>8</v>
      </c>
      <c r="U23" s="1558">
        <f>H23</f>
        <v>100</v>
      </c>
      <c r="V23" s="1557" t="s">
        <v>8</v>
      </c>
      <c r="W23" s="1558">
        <f>J23</f>
        <v>100</v>
      </c>
      <c r="X23" s="1551"/>
      <c r="Y23" s="3412"/>
      <c r="Z23" s="1559" t="str">
        <f>Q23</f>
        <v>环境质量</v>
      </c>
      <c r="AA23" s="1560">
        <f t="shared" si="3"/>
        <v>1</v>
      </c>
      <c r="AB23" s="1560">
        <f t="shared" si="4"/>
        <v>1</v>
      </c>
      <c r="AC23" s="1560">
        <f t="shared" si="5"/>
        <v>1</v>
      </c>
    </row>
    <row r="24" spans="1:29" ht="15">
      <c r="A24" s="530"/>
      <c r="B24" s="919"/>
      <c r="C24" s="574"/>
      <c r="D24" s="553"/>
      <c r="E24" s="554"/>
      <c r="F24" s="555"/>
      <c r="G24" s="556"/>
      <c r="H24" s="553"/>
      <c r="I24" s="554"/>
      <c r="J24" s="553"/>
      <c r="K24" s="896"/>
      <c r="L24" s="2125"/>
      <c r="M24" s="2117"/>
      <c r="N24" s="2117"/>
      <c r="O24" s="2124"/>
      <c r="P24" s="3412"/>
      <c r="Q24" s="1556"/>
      <c r="R24" s="1557"/>
      <c r="S24" s="1558"/>
      <c r="T24" s="1557"/>
      <c r="U24" s="1558"/>
      <c r="V24" s="1557"/>
      <c r="W24" s="1558"/>
      <c r="X24" s="1551"/>
      <c r="Y24" s="3412"/>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12"/>
      <c r="Q25" s="1556">
        <f>B25</f>
        <v>111</v>
      </c>
      <c r="R25" s="1557" t="s">
        <v>8</v>
      </c>
      <c r="S25" s="1558">
        <f>F25</f>
        <v>100</v>
      </c>
      <c r="T25" s="1557" t="s">
        <v>8</v>
      </c>
      <c r="U25" s="1558">
        <f>H25</f>
        <v>100</v>
      </c>
      <c r="V25" s="1557" t="s">
        <v>8</v>
      </c>
      <c r="W25" s="1558">
        <f>J25</f>
        <v>100</v>
      </c>
      <c r="X25" s="1551"/>
      <c r="Y25" s="3412"/>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12"/>
      <c r="Q26" s="1556">
        <f t="shared" ref="Q26:Q40" si="11">B26</f>
        <v>111</v>
      </c>
      <c r="R26" s="1557" t="s">
        <v>8</v>
      </c>
      <c r="S26" s="1558">
        <f>F26</f>
        <v>100</v>
      </c>
      <c r="T26" s="1557" t="s">
        <v>8</v>
      </c>
      <c r="U26" s="1558">
        <f>H26</f>
        <v>100</v>
      </c>
      <c r="V26" s="1557" t="s">
        <v>8</v>
      </c>
      <c r="W26" s="1558">
        <f>J26</f>
        <v>100</v>
      </c>
      <c r="X26" s="1551"/>
      <c r="Y26" s="3412"/>
      <c r="Z26" s="1559">
        <f>Q26</f>
        <v>111</v>
      </c>
      <c r="AA26" s="1560">
        <f t="shared" si="3"/>
        <v>1</v>
      </c>
      <c r="AB26" s="1560">
        <f t="shared" si="4"/>
        <v>1</v>
      </c>
      <c r="AC26" s="1560">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12"/>
      <c r="Q27" s="1144">
        <f t="shared" si="11"/>
        <v>111</v>
      </c>
      <c r="R27" s="1552" t="s">
        <v>8</v>
      </c>
      <c r="S27" s="1553">
        <f>F27</f>
        <v>100</v>
      </c>
      <c r="T27" s="1552" t="s">
        <v>8</v>
      </c>
      <c r="U27" s="1553">
        <f>H27</f>
        <v>100</v>
      </c>
      <c r="V27" s="1552" t="s">
        <v>8</v>
      </c>
      <c r="W27" s="1553">
        <f>J27</f>
        <v>100</v>
      </c>
      <c r="X27" s="1554"/>
      <c r="Y27" s="3412"/>
      <c r="Z27" s="1143">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5"/>
      <c r="M28" s="2117"/>
      <c r="N28" s="2117"/>
      <c r="O28" s="2124"/>
      <c r="P28" s="3412"/>
      <c r="Q28" s="1556">
        <f t="shared" si="11"/>
        <v>111</v>
      </c>
      <c r="R28" s="1557" t="s">
        <v>8</v>
      </c>
      <c r="S28" s="1558">
        <f t="shared" ref="S28:S40" si="12">F28</f>
        <v>100</v>
      </c>
      <c r="T28" s="1557" t="s">
        <v>8</v>
      </c>
      <c r="U28" s="1558">
        <f t="shared" ref="U28:U40" si="13">H28</f>
        <v>100</v>
      </c>
      <c r="V28" s="1557" t="s">
        <v>8</v>
      </c>
      <c r="W28" s="1558">
        <f t="shared" ref="W28:W40" si="14">J28</f>
        <v>100</v>
      </c>
      <c r="X28" s="1551"/>
      <c r="Y28" s="3412"/>
      <c r="Z28" s="1559">
        <f t="shared" ref="Z28:Z40" si="15">Q28</f>
        <v>111</v>
      </c>
      <c r="AA28" s="1560">
        <f t="shared" si="3"/>
        <v>1</v>
      </c>
      <c r="AB28" s="1560">
        <f t="shared" si="4"/>
        <v>1</v>
      </c>
      <c r="AC28" s="1560">
        <f t="shared" si="5"/>
        <v>1</v>
      </c>
    </row>
    <row r="29" spans="1:29" ht="15">
      <c r="A29" s="2860" t="s">
        <v>2753</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5"/>
      <c r="M29" s="2117"/>
      <c r="N29" s="2117"/>
      <c r="O29" s="2124"/>
      <c r="P29" s="3413" t="s">
        <v>550</v>
      </c>
      <c r="Q29" s="1556" t="str">
        <f t="shared" si="11"/>
        <v>建筑类型</v>
      </c>
      <c r="R29" s="1557" t="s">
        <v>8</v>
      </c>
      <c r="S29" s="1558">
        <f t="shared" si="12"/>
        <v>100</v>
      </c>
      <c r="T29" s="1557" t="s">
        <v>8</v>
      </c>
      <c r="U29" s="1558">
        <f t="shared" si="13"/>
        <v>100</v>
      </c>
      <c r="V29" s="1557" t="s">
        <v>8</v>
      </c>
      <c r="W29" s="1558">
        <f t="shared" si="14"/>
        <v>100</v>
      </c>
      <c r="X29" s="1551"/>
      <c r="Y29" s="3414" t="s">
        <v>550</v>
      </c>
      <c r="Z29" s="1559" t="str">
        <f t="shared" si="15"/>
        <v>建筑类型</v>
      </c>
      <c r="AA29" s="1560">
        <f t="shared" si="3"/>
        <v>1</v>
      </c>
      <c r="AB29" s="1560">
        <f t="shared" si="4"/>
        <v>1</v>
      </c>
      <c r="AC29" s="1560">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14"/>
      <c r="Q30" s="1588" t="str">
        <f t="shared" si="11"/>
        <v>项目建筑规模</v>
      </c>
      <c r="R30" s="1561" t="s">
        <v>8</v>
      </c>
      <c r="S30" s="1562" t="e">
        <f t="shared" si="12"/>
        <v>#N/A</v>
      </c>
      <c r="T30" s="1561" t="s">
        <v>8</v>
      </c>
      <c r="U30" s="1562" t="e">
        <f t="shared" si="13"/>
        <v>#N/A</v>
      </c>
      <c r="V30" s="1561" t="s">
        <v>8</v>
      </c>
      <c r="W30" s="1562" t="e">
        <f t="shared" si="14"/>
        <v>#N/A</v>
      </c>
      <c r="X30" s="1563"/>
      <c r="Y30" s="3414"/>
      <c r="Z30" s="1564" t="str">
        <f t="shared" si="15"/>
        <v>项目建筑规模</v>
      </c>
      <c r="AA30" s="1560" t="e">
        <f t="shared" si="3"/>
        <v>#N/A</v>
      </c>
      <c r="AB30" s="1560" t="e">
        <f t="shared" si="4"/>
        <v>#N/A</v>
      </c>
      <c r="AC30" s="1560"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14"/>
      <c r="Q31" s="1556" t="str">
        <f t="shared" si="11"/>
        <v>建筑结构</v>
      </c>
      <c r="R31" s="1557" t="s">
        <v>8</v>
      </c>
      <c r="S31" s="1558">
        <f t="shared" si="12"/>
        <v>100</v>
      </c>
      <c r="T31" s="1557" t="s">
        <v>8</v>
      </c>
      <c r="U31" s="1558">
        <f t="shared" si="13"/>
        <v>100</v>
      </c>
      <c r="V31" s="1557" t="s">
        <v>8</v>
      </c>
      <c r="W31" s="1558">
        <f t="shared" si="14"/>
        <v>100</v>
      </c>
      <c r="X31" s="1551"/>
      <c r="Y31" s="3414"/>
      <c r="Z31" s="1559" t="str">
        <f t="shared" si="15"/>
        <v>建筑结构</v>
      </c>
      <c r="AA31" s="1560">
        <f t="shared" si="3"/>
        <v>1</v>
      </c>
      <c r="AB31" s="1560">
        <f t="shared" si="4"/>
        <v>1</v>
      </c>
      <c r="AC31" s="1560">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14"/>
      <c r="Q32" s="1556" t="str">
        <f t="shared" si="11"/>
        <v>公共部分装修</v>
      </c>
      <c r="R32" s="1557" t="s">
        <v>8</v>
      </c>
      <c r="S32" s="1558">
        <f t="shared" si="12"/>
        <v>100</v>
      </c>
      <c r="T32" s="1557" t="s">
        <v>8</v>
      </c>
      <c r="U32" s="1558">
        <f t="shared" si="13"/>
        <v>100</v>
      </c>
      <c r="V32" s="1557" t="s">
        <v>8</v>
      </c>
      <c r="W32" s="1558">
        <f t="shared" si="14"/>
        <v>100</v>
      </c>
      <c r="X32" s="1551"/>
      <c r="Y32" s="3414"/>
      <c r="Z32" s="1559" t="str">
        <f t="shared" si="15"/>
        <v>公共部分装修</v>
      </c>
      <c r="AA32" s="1560">
        <f t="shared" si="3"/>
        <v>1</v>
      </c>
      <c r="AB32" s="1560">
        <f t="shared" si="4"/>
        <v>1</v>
      </c>
      <c r="AC32" s="1560">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5"/>
      <c r="M33" s="2117"/>
      <c r="N33" s="2117"/>
      <c r="O33" s="2124"/>
      <c r="P33" s="3414"/>
      <c r="Q33" s="1556" t="str">
        <f t="shared" si="11"/>
        <v>成新度</v>
      </c>
      <c r="R33" s="1557" t="s">
        <v>8</v>
      </c>
      <c r="S33" s="1558" t="e">
        <f t="shared" si="12"/>
        <v>#N/A</v>
      </c>
      <c r="T33" s="1557" t="s">
        <v>8</v>
      </c>
      <c r="U33" s="1558" t="e">
        <f t="shared" si="13"/>
        <v>#N/A</v>
      </c>
      <c r="V33" s="1557" t="s">
        <v>8</v>
      </c>
      <c r="W33" s="1558" t="e">
        <f t="shared" si="14"/>
        <v>#N/A</v>
      </c>
      <c r="X33" s="1551"/>
      <c r="Y33" s="3414"/>
      <c r="Z33" s="1559" t="str">
        <f t="shared" si="15"/>
        <v>成新度</v>
      </c>
      <c r="AA33" s="1560" t="e">
        <f t="shared" si="3"/>
        <v>#N/A</v>
      </c>
      <c r="AB33" s="1560" t="e">
        <f t="shared" si="4"/>
        <v>#N/A</v>
      </c>
      <c r="AC33" s="1560"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14"/>
      <c r="Q34" s="1144" t="str">
        <f t="shared" si="11"/>
        <v>物业管理</v>
      </c>
      <c r="R34" s="1552" t="s">
        <v>8</v>
      </c>
      <c r="S34" s="1553">
        <f t="shared" si="12"/>
        <v>100</v>
      </c>
      <c r="T34" s="1552" t="s">
        <v>8</v>
      </c>
      <c r="U34" s="1553">
        <f t="shared" si="13"/>
        <v>100</v>
      </c>
      <c r="V34" s="1552" t="s">
        <v>8</v>
      </c>
      <c r="W34" s="1553">
        <f t="shared" si="14"/>
        <v>100</v>
      </c>
      <c r="X34" s="1554"/>
      <c r="Y34" s="3414"/>
      <c r="Z34" s="1143" t="str">
        <f t="shared" si="15"/>
        <v>物业管理</v>
      </c>
      <c r="AA34" s="1555">
        <f t="shared" si="3"/>
        <v>1</v>
      </c>
      <c r="AB34" s="1555">
        <f t="shared" si="4"/>
        <v>1</v>
      </c>
      <c r="AC34" s="1555">
        <f t="shared" si="5"/>
        <v>1</v>
      </c>
    </row>
    <row r="35" spans="1:29" ht="15">
      <c r="A35" s="592"/>
      <c r="B35" s="1878"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14" t="s">
        <v>550</v>
      </c>
      <c r="Q35" s="1556" t="str">
        <f t="shared" si="11"/>
        <v>市政基础设施</v>
      </c>
      <c r="R35" s="1557" t="s">
        <v>8</v>
      </c>
      <c r="S35" s="1558">
        <f t="shared" si="12"/>
        <v>100</v>
      </c>
      <c r="T35" s="1557" t="s">
        <v>8</v>
      </c>
      <c r="U35" s="1558">
        <f t="shared" si="13"/>
        <v>100</v>
      </c>
      <c r="V35" s="1557" t="s">
        <v>8</v>
      </c>
      <c r="W35" s="1558">
        <f t="shared" si="14"/>
        <v>100</v>
      </c>
      <c r="X35" s="1551"/>
      <c r="Y35" s="3414" t="s">
        <v>550</v>
      </c>
      <c r="Z35" s="1559" t="str">
        <f t="shared" si="15"/>
        <v>市政基础设施</v>
      </c>
      <c r="AA35" s="1560">
        <f t="shared" si="3"/>
        <v>1</v>
      </c>
      <c r="AB35" s="1560">
        <f t="shared" si="4"/>
        <v>1</v>
      </c>
      <c r="AC35" s="1560">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14"/>
      <c r="Q36" s="1556" t="str">
        <f t="shared" si="11"/>
        <v>内部装修</v>
      </c>
      <c r="R36" s="1557" t="s">
        <v>8</v>
      </c>
      <c r="S36" s="1558">
        <f t="shared" si="12"/>
        <v>100</v>
      </c>
      <c r="T36" s="1557" t="s">
        <v>8</v>
      </c>
      <c r="U36" s="1558">
        <f t="shared" si="13"/>
        <v>100</v>
      </c>
      <c r="V36" s="1557" t="s">
        <v>8</v>
      </c>
      <c r="W36" s="1558">
        <f t="shared" si="14"/>
        <v>100</v>
      </c>
      <c r="X36" s="1551"/>
      <c r="Y36" s="3414"/>
      <c r="Z36" s="1559" t="str">
        <f t="shared" si="15"/>
        <v>内部装修</v>
      </c>
      <c r="AA36" s="1560">
        <f t="shared" si="3"/>
        <v>1</v>
      </c>
      <c r="AB36" s="1560">
        <f t="shared" si="4"/>
        <v>1</v>
      </c>
      <c r="AC36" s="1560">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14"/>
      <c r="Q37" s="1556" t="str">
        <f t="shared" si="11"/>
        <v>内部装修状况</v>
      </c>
      <c r="R37" s="1557" t="s">
        <v>8</v>
      </c>
      <c r="S37" s="1558">
        <f t="shared" si="12"/>
        <v>100</v>
      </c>
      <c r="T37" s="1557" t="s">
        <v>8</v>
      </c>
      <c r="U37" s="1558">
        <f t="shared" si="13"/>
        <v>100</v>
      </c>
      <c r="V37" s="1557" t="s">
        <v>8</v>
      </c>
      <c r="W37" s="1558">
        <f t="shared" si="14"/>
        <v>100</v>
      </c>
      <c r="X37" s="1551"/>
      <c r="Y37" s="3414"/>
      <c r="Z37" s="1559" t="str">
        <f t="shared" si="15"/>
        <v>内部装修状况</v>
      </c>
      <c r="AA37" s="1560">
        <f t="shared" si="3"/>
        <v>1</v>
      </c>
      <c r="AB37" s="1560">
        <f t="shared" si="4"/>
        <v>1</v>
      </c>
      <c r="AC37" s="1560">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3"/>
      <c r="M38" s="2154"/>
      <c r="N38" s="2154"/>
      <c r="O38" s="2126"/>
      <c r="P38" s="3414"/>
      <c r="Q38" s="1588">
        <f t="shared" si="11"/>
        <v>111</v>
      </c>
      <c r="R38" s="1561" t="s">
        <v>8</v>
      </c>
      <c r="S38" s="1562">
        <f t="shared" si="12"/>
        <v>100</v>
      </c>
      <c r="T38" s="1561" t="s">
        <v>8</v>
      </c>
      <c r="U38" s="1562">
        <f t="shared" si="13"/>
        <v>100</v>
      </c>
      <c r="V38" s="1561" t="s">
        <v>8</v>
      </c>
      <c r="W38" s="1562">
        <f t="shared" si="14"/>
        <v>100</v>
      </c>
      <c r="X38" s="1563"/>
      <c r="Y38" s="3414"/>
      <c r="Z38" s="1564">
        <f t="shared" si="15"/>
        <v>111</v>
      </c>
      <c r="AA38" s="1560">
        <f t="shared" si="3"/>
        <v>1</v>
      </c>
      <c r="AB38" s="1560">
        <f t="shared" si="4"/>
        <v>1</v>
      </c>
      <c r="AC38" s="1560">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5"/>
      <c r="M39" s="2117"/>
      <c r="N39" s="2117"/>
      <c r="O39" s="2124"/>
      <c r="P39" s="3414"/>
      <c r="Q39" s="1556">
        <f t="shared" si="11"/>
        <v>111</v>
      </c>
      <c r="R39" s="1557" t="s">
        <v>8</v>
      </c>
      <c r="S39" s="1558">
        <f t="shared" si="12"/>
        <v>100</v>
      </c>
      <c r="T39" s="1557" t="s">
        <v>8</v>
      </c>
      <c r="U39" s="1558">
        <f t="shared" si="13"/>
        <v>100</v>
      </c>
      <c r="V39" s="1557" t="s">
        <v>8</v>
      </c>
      <c r="W39" s="1558">
        <f t="shared" si="14"/>
        <v>100</v>
      </c>
      <c r="X39" s="1551"/>
      <c r="Y39" s="3414"/>
      <c r="Z39" s="1559">
        <f t="shared" si="15"/>
        <v>111</v>
      </c>
      <c r="AA39" s="1560">
        <f t="shared" si="3"/>
        <v>1</v>
      </c>
      <c r="AB39" s="1560">
        <f t="shared" si="4"/>
        <v>1</v>
      </c>
      <c r="AC39" s="1560">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5"/>
      <c r="M40" s="2117"/>
      <c r="N40" s="2117"/>
      <c r="O40" s="2124"/>
      <c r="P40" s="3472"/>
      <c r="Q40" s="1556">
        <f t="shared" si="11"/>
        <v>111</v>
      </c>
      <c r="R40" s="1557" t="s">
        <v>8</v>
      </c>
      <c r="S40" s="1558">
        <f t="shared" si="12"/>
        <v>100</v>
      </c>
      <c r="T40" s="1557" t="s">
        <v>8</v>
      </c>
      <c r="U40" s="1558">
        <f t="shared" si="13"/>
        <v>100</v>
      </c>
      <c r="V40" s="1557" t="s">
        <v>8</v>
      </c>
      <c r="W40" s="1558">
        <f t="shared" si="14"/>
        <v>100</v>
      </c>
      <c r="X40" s="1551"/>
      <c r="Y40" s="3472"/>
      <c r="Z40" s="1559">
        <f t="shared" si="15"/>
        <v>111</v>
      </c>
      <c r="AA40" s="1560">
        <f t="shared" si="3"/>
        <v>1</v>
      </c>
      <c r="AB40" s="1560">
        <f t="shared" si="4"/>
        <v>1</v>
      </c>
      <c r="AC40" s="1560">
        <f t="shared" si="5"/>
        <v>1</v>
      </c>
    </row>
    <row r="41" spans="1:29" ht="15">
      <c r="A41" s="605" t="s">
        <v>736</v>
      </c>
      <c r="B41" s="884"/>
      <c r="C41" s="2589" t="s">
        <v>1</v>
      </c>
      <c r="D41" s="2590"/>
      <c r="E41" s="2591"/>
      <c r="F41" s="2592"/>
      <c r="G41" s="2593"/>
      <c r="H41" s="2594"/>
      <c r="I41" s="2591"/>
      <c r="J41" s="2594"/>
      <c r="K41" s="1594"/>
      <c r="L41" s="2127"/>
      <c r="M41" s="2128"/>
      <c r="N41" s="2117"/>
      <c r="O41" s="2128"/>
      <c r="P41" s="3375" t="str">
        <f>A41</f>
        <v>成交单价（元/平方米）</v>
      </c>
      <c r="Q41" s="3375"/>
      <c r="R41" s="3471">
        <f>E41</f>
        <v>0</v>
      </c>
      <c r="S41" s="3471"/>
      <c r="T41" s="3471">
        <f>G41</f>
        <v>0</v>
      </c>
      <c r="U41" s="3471"/>
      <c r="V41" s="3471">
        <f>I41</f>
        <v>0</v>
      </c>
      <c r="W41" s="3471"/>
      <c r="X41" s="1543"/>
      <c r="Y41" s="1565"/>
      <c r="Z41" s="1543"/>
      <c r="AA41" s="1543"/>
      <c r="AB41" s="1543"/>
      <c r="AC41" s="1543"/>
    </row>
    <row r="42" spans="1:29" ht="15.75" thickBot="1">
      <c r="A42" s="613" t="s">
        <v>2758</v>
      </c>
      <c r="B42" s="885"/>
      <c r="C42" s="2595" t="e">
        <f>R43</f>
        <v>#DIV/0!</v>
      </c>
      <c r="D42" s="2596"/>
      <c r="E42" s="2597" t="e">
        <f>R42</f>
        <v>#DIV/0!</v>
      </c>
      <c r="F42" s="2597"/>
      <c r="G42" s="2595" t="e">
        <f>T42</f>
        <v>#DIV/0!</v>
      </c>
      <c r="H42" s="2596"/>
      <c r="I42" s="2597" t="e">
        <f>V42</f>
        <v>#DIV/0!</v>
      </c>
      <c r="J42" s="2596"/>
      <c r="K42" s="1595"/>
      <c r="L42" s="2127"/>
      <c r="M42" s="2128"/>
      <c r="N42" s="2117"/>
      <c r="O42" s="2128"/>
      <c r="P42" s="3375" t="str">
        <f>A42</f>
        <v>比较价格（元/平方米）</v>
      </c>
      <c r="Q42" s="3375"/>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3"/>
      <c r="Y42" s="1543"/>
      <c r="Z42" s="1543"/>
      <c r="AA42" s="1543"/>
      <c r="AB42" s="1543"/>
      <c r="AC42" s="1543"/>
    </row>
    <row r="43" spans="1:29" ht="15.75" thickBot="1">
      <c r="A43" s="619" t="s">
        <v>2933</v>
      </c>
      <c r="B43" s="620"/>
      <c r="C43" s="2598" t="e">
        <f>R43</f>
        <v>#DIV/0!</v>
      </c>
      <c r="D43" s="2598"/>
      <c r="E43" s="2598"/>
      <c r="F43" s="2598"/>
      <c r="G43" s="2598"/>
      <c r="H43" s="2598"/>
      <c r="I43" s="2598"/>
      <c r="J43" s="2598"/>
      <c r="K43" s="1596"/>
      <c r="L43" s="2127"/>
      <c r="M43" s="2128"/>
      <c r="N43" s="2128"/>
      <c r="O43" s="2128"/>
      <c r="P43" s="3372" t="str">
        <f>A43</f>
        <v>估价对象XX用房的比较价格（楼面单价，元/平方米）</v>
      </c>
      <c r="Q43" s="3373"/>
      <c r="R43" s="3470" t="e">
        <f>IF(F1="售价",ROUND(AVERAGE(R42:V42),0),ROUND(AVERAGE(R42:V42),1))</f>
        <v>#DIV/0!</v>
      </c>
      <c r="S43" s="3470"/>
      <c r="T43" s="3470"/>
      <c r="U43" s="3470"/>
      <c r="V43" s="3470"/>
      <c r="W43" s="347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3" t="s">
        <v>529</v>
      </c>
      <c r="B52" s="644"/>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3"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3"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3"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2555</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2556</v>
      </c>
      <c r="C76" s="2560" t="s">
        <v>2557</v>
      </c>
      <c r="D76" s="2560" t="s">
        <v>2558</v>
      </c>
      <c r="E76" s="2560" t="s">
        <v>2559</v>
      </c>
      <c r="F76" s="2560" t="s">
        <v>2560</v>
      </c>
      <c r="G76" s="2560" t="s">
        <v>2561</v>
      </c>
      <c r="H76" s="932"/>
      <c r="I76" s="932"/>
      <c r="J76" s="932"/>
      <c r="K76" s="932"/>
      <c r="L76" s="932"/>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784</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7"/>
      <c r="B80" s="671">
        <f>B25</f>
        <v>111</v>
      </c>
      <c r="C80" s="686"/>
      <c r="D80" s="686"/>
      <c r="E80" s="686"/>
      <c r="F80" s="686"/>
      <c r="G80" s="686"/>
      <c r="H80" s="686"/>
      <c r="I80" s="686"/>
      <c r="J80" s="686"/>
      <c r="K80" s="686"/>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7"/>
      <c r="B82" s="671">
        <f>B26</f>
        <v>111</v>
      </c>
      <c r="C82" s="686"/>
      <c r="D82" s="686"/>
      <c r="E82" s="686"/>
      <c r="F82" s="686"/>
      <c r="G82" s="686"/>
      <c r="H82" s="686"/>
      <c r="I82" s="686"/>
      <c r="J82" s="686"/>
      <c r="K82" s="686"/>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5"/>
      <c r="B84" s="671">
        <f>B27</f>
        <v>111</v>
      </c>
      <c r="C84" s="686"/>
      <c r="D84" s="686"/>
      <c r="E84" s="686"/>
      <c r="F84" s="686"/>
      <c r="G84" s="686"/>
      <c r="H84" s="686"/>
      <c r="I84" s="686"/>
      <c r="J84" s="686"/>
      <c r="K84" s="686"/>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0"/>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751</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6"/>
      <c r="B100" s="671" t="s">
        <v>753</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2554</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755</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中粮信托有限责任公司：</v>
      </c>
    </row>
    <row r="4" spans="1:4" ht="37.5">
      <c r="A4" s="1774" t="str">
        <f>"受贵公司委托，我公司对"&amp;项目基本情况!K2&amp;项目基本情况!B9&amp;"进行了预评估。"</f>
        <v>受贵公司委托，我公司对山东省潍坊市青州市胶王路北侧一宗商业、住宅用地出让国有建设用地使用权抵押价格进行了预评估。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潍坊市青州市胶王路北侧一宗商业、住宅用地出让国有建设用地使用权。根据《国有土地使用证》[青国用（2011）第01011号]，估价对象（分摊）出让国有建设用地使用权面积为320191.1平方米。根据，估价对象规划建筑面积为704420.42平方米。</v>
      </c>
    </row>
    <row r="7" spans="1:4" ht="93.75">
      <c r="A7" s="2826" t="s">
        <v>2746</v>
      </c>
    </row>
    <row r="8" spans="1:4" ht="18.75">
      <c r="A8" s="1777" t="s">
        <v>1906</v>
      </c>
    </row>
    <row r="9" spans="1:4" ht="75">
      <c r="A9" s="1779" t="str">
        <f>IF(项目基本情况!B8="抵押",IF(项目基本情况!B5=项目基本情况!B6,定义!C51,定义!B51),定义!D51)</f>
        <v>委托估价方在向金融机构（青州市宏源公有资产经营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2019年7月19日（评估专业人员勘察现场之日）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根据《国有土地使用证》[]，本次评估估价对象证载（地类）用途为商住。</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根据《国有土地使用证》[青国用（2011）第01011号]，估价对象（分摊）出让国有建设用地使用权面积为320191.1平方米。根据，估价对象规划建筑面积为704420.42平方米。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1" t="s">
        <v>794</v>
      </c>
      <c r="B2" s="848"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7" t="s">
        <v>795</v>
      </c>
      <c r="B3" s="508" t="e">
        <f>IF(B37="元/平方米",C39,ROUND(B2*10000/D3,0))</f>
        <v>#DIV/0!</v>
      </c>
      <c r="C3" s="850" t="s">
        <v>796</v>
      </c>
      <c r="D3" s="849">
        <f>SUMIF('数据-汇总表'!$C19:$C33,D1,'数据-汇总表'!$E19:$E33)</f>
        <v>0</v>
      </c>
      <c r="E3" s="1831" t="s">
        <v>2075</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381" t="s">
        <v>798</v>
      </c>
      <c r="D4" s="3382"/>
      <c r="E4" s="3381" t="s">
        <v>799</v>
      </c>
      <c r="F4" s="3382"/>
      <c r="G4" s="3381" t="s">
        <v>800</v>
      </c>
      <c r="H4" s="3382"/>
      <c r="I4" s="3381" t="s">
        <v>801</v>
      </c>
      <c r="J4" s="3382"/>
      <c r="K4" s="512" t="s">
        <v>802</v>
      </c>
      <c r="L4" s="2116"/>
      <c r="M4" s="2117"/>
      <c r="N4" s="2117"/>
      <c r="O4" s="2117"/>
      <c r="P4" s="3383" t="s">
        <v>803</v>
      </c>
      <c r="Q4" s="3384"/>
      <c r="R4" s="3389" t="s">
        <v>799</v>
      </c>
      <c r="S4" s="3390"/>
      <c r="T4" s="3389" t="s">
        <v>800</v>
      </c>
      <c r="U4" s="3390"/>
      <c r="V4" s="3376" t="s">
        <v>801</v>
      </c>
      <c r="W4" s="3376"/>
      <c r="X4" s="1551"/>
      <c r="Y4" s="3389" t="s">
        <v>803</v>
      </c>
      <c r="Z4" s="3390"/>
      <c r="AA4" s="3378" t="s">
        <v>799</v>
      </c>
      <c r="AB4" s="3379" t="s">
        <v>800</v>
      </c>
      <c r="AC4" s="3378" t="s">
        <v>801</v>
      </c>
    </row>
    <row r="5" spans="1:29" ht="15">
      <c r="A5" s="513"/>
      <c r="B5" s="514"/>
      <c r="C5" s="3399" t="s">
        <v>2927</v>
      </c>
      <c r="D5" s="3400"/>
      <c r="E5" s="3399" t="s">
        <v>2928</v>
      </c>
      <c r="F5" s="3400"/>
      <c r="G5" s="3399" t="s">
        <v>2929</v>
      </c>
      <c r="H5" s="3400"/>
      <c r="I5" s="3399" t="s">
        <v>2930</v>
      </c>
      <c r="J5" s="3400"/>
      <c r="K5" s="512"/>
      <c r="L5" s="2116"/>
      <c r="M5" s="2117"/>
      <c r="N5" s="2117"/>
      <c r="O5" s="2117"/>
      <c r="P5" s="3385"/>
      <c r="Q5" s="3386"/>
      <c r="R5" s="3391"/>
      <c r="S5" s="3392"/>
      <c r="T5" s="3391"/>
      <c r="U5" s="3392"/>
      <c r="V5" s="3376"/>
      <c r="W5" s="3376"/>
      <c r="X5" s="1551"/>
      <c r="Y5" s="3391"/>
      <c r="Z5" s="3392"/>
      <c r="AA5" s="3379"/>
      <c r="AB5" s="3379"/>
      <c r="AC5" s="3379"/>
    </row>
    <row r="6" spans="1:29" ht="15.75" thickBot="1">
      <c r="A6" s="515"/>
      <c r="B6" s="516"/>
      <c r="C6" s="3395" t="s">
        <v>2931</v>
      </c>
      <c r="D6" s="3396"/>
      <c r="E6" s="3401" t="s">
        <v>2931</v>
      </c>
      <c r="F6" s="3402"/>
      <c r="G6" s="3395" t="s">
        <v>2931</v>
      </c>
      <c r="H6" s="3396"/>
      <c r="I6" s="3395" t="s">
        <v>2931</v>
      </c>
      <c r="J6" s="3396"/>
      <c r="K6" s="512" t="s">
        <v>528</v>
      </c>
      <c r="L6" s="2116"/>
      <c r="M6" s="2117"/>
      <c r="N6" s="2117"/>
      <c r="O6" s="2117"/>
      <c r="P6" s="3387"/>
      <c r="Q6" s="3388"/>
      <c r="R6" s="3391"/>
      <c r="S6" s="3392"/>
      <c r="T6" s="3393"/>
      <c r="U6" s="3394"/>
      <c r="V6" s="3376"/>
      <c r="W6" s="3376"/>
      <c r="X6" s="1551"/>
      <c r="Y6" s="3393"/>
      <c r="Z6" s="3394"/>
      <c r="AA6" s="3380"/>
      <c r="AB6" s="3380"/>
      <c r="AC6" s="3380"/>
    </row>
    <row r="7" spans="1:29" s="1213" customFormat="1" ht="15.75" thickBot="1">
      <c r="A7" s="2865"/>
      <c r="B7" s="2872" t="s">
        <v>529</v>
      </c>
      <c r="C7" s="517">
        <f>'数据-取费表'!B2</f>
        <v>43665</v>
      </c>
      <c r="D7" s="518">
        <v>100</v>
      </c>
      <c r="E7" s="519"/>
      <c r="F7" s="520">
        <f>SUMIF(48:48,YEAR(E7)&amp;"-"&amp;MONTH(E7),49:49)</f>
        <v>0</v>
      </c>
      <c r="G7" s="521"/>
      <c r="H7" s="518">
        <f>SUMIF(48:48,YEAR(G7)&amp;"-"&amp;MONTH(G7),49:49)</f>
        <v>0</v>
      </c>
      <c r="I7" s="521"/>
      <c r="J7" s="518">
        <f>SUMIF(48:48,YEAR(I7)&amp;"-"&amp;MONTH(I7),49:49)</f>
        <v>0</v>
      </c>
      <c r="K7" s="522"/>
      <c r="L7" s="2118"/>
      <c r="M7" s="2119"/>
      <c r="N7" s="2119"/>
      <c r="O7" s="2119"/>
      <c r="P7" s="3408" t="s">
        <v>530</v>
      </c>
      <c r="Q7" s="3410"/>
      <c r="R7" s="1552" t="s">
        <v>8</v>
      </c>
      <c r="S7" s="1553">
        <f t="shared" ref="S7:S14" si="0">F7</f>
        <v>0</v>
      </c>
      <c r="T7" s="1552" t="s">
        <v>8</v>
      </c>
      <c r="U7" s="1553">
        <f t="shared" ref="U7:U14" si="1">H7</f>
        <v>0</v>
      </c>
      <c r="V7" s="1552" t="s">
        <v>8</v>
      </c>
      <c r="W7" s="1553">
        <f t="shared" ref="W7:W14" si="2">J7</f>
        <v>0</v>
      </c>
      <c r="X7" s="1554"/>
      <c r="Y7" s="3408" t="s">
        <v>530</v>
      </c>
      <c r="Z7" s="3409"/>
      <c r="AA7" s="1555" t="e">
        <f>D7/F7</f>
        <v>#DIV/0!</v>
      </c>
      <c r="AB7" s="1555" t="e">
        <f>D7/H7</f>
        <v>#DIV/0!</v>
      </c>
      <c r="AC7" s="1555" t="e">
        <f>D7/J7</f>
        <v>#DIV/0!</v>
      </c>
    </row>
    <row r="8" spans="1:29" s="1213" customFormat="1" ht="15.75" thickBot="1">
      <c r="A8" s="2866"/>
      <c r="B8" s="2873" t="s">
        <v>531</v>
      </c>
      <c r="C8" s="523" t="s">
        <v>576</v>
      </c>
      <c r="D8" s="518">
        <v>100</v>
      </c>
      <c r="E8" s="523"/>
      <c r="F8" s="520">
        <f>SUMIF(51:51,E8,52:52)-SUMIF(51:51,C8,52:52)+100</f>
        <v>0</v>
      </c>
      <c r="G8" s="523"/>
      <c r="H8" s="518">
        <f>SUMIF(51:51,G8,52:52)-SUMIF(51:51,C8,52:52)+100</f>
        <v>0</v>
      </c>
      <c r="I8" s="523"/>
      <c r="J8" s="518">
        <f>SUMIF(51:51,I8,52:52)-SUMIF(51:51,C8,52:52)+100</f>
        <v>0</v>
      </c>
      <c r="K8" s="522"/>
      <c r="L8" s="2118"/>
      <c r="M8" s="2119"/>
      <c r="N8" s="2119"/>
      <c r="O8" s="2119"/>
      <c r="P8" s="3408" t="s">
        <v>533</v>
      </c>
      <c r="Q8" s="3409"/>
      <c r="R8" s="1552" t="s">
        <v>8</v>
      </c>
      <c r="S8" s="1553">
        <f t="shared" si="0"/>
        <v>0</v>
      </c>
      <c r="T8" s="1552" t="s">
        <v>8</v>
      </c>
      <c r="U8" s="1553">
        <f t="shared" si="1"/>
        <v>0</v>
      </c>
      <c r="V8" s="1552" t="s">
        <v>8</v>
      </c>
      <c r="W8" s="1553">
        <f t="shared" si="2"/>
        <v>0</v>
      </c>
      <c r="X8" s="1554"/>
      <c r="Y8" s="3408" t="s">
        <v>533</v>
      </c>
      <c r="Z8" s="3409"/>
      <c r="AA8" s="1555" t="e">
        <f t="shared" ref="AA8:AA36" si="3">D8/F8</f>
        <v>#DIV/0!</v>
      </c>
      <c r="AB8" s="1555" t="e">
        <f t="shared" ref="AB8:AB36" si="4">D8/H8</f>
        <v>#DIV/0!</v>
      </c>
      <c r="AC8" s="1555" t="e">
        <f t="shared" ref="AC8:AC36" si="5">D8/J8</f>
        <v>#DIV/0!</v>
      </c>
    </row>
    <row r="9" spans="1:29" s="1213" customFormat="1" ht="15">
      <c r="A9" s="2867"/>
      <c r="B9" s="2874" t="s">
        <v>2754</v>
      </c>
      <c r="C9" s="855"/>
      <c r="D9" s="252">
        <v>100</v>
      </c>
      <c r="E9" s="858"/>
      <c r="F9" s="252">
        <f>SUMIF(53:53,E9,54:54)-SUMIF(53:53,C9,54:54)+100</f>
        <v>100</v>
      </c>
      <c r="G9" s="856"/>
      <c r="H9" s="252">
        <f>SUMIF(53:53,G9,54:54)-SUMIF(53:53,C9,54:54)+100</f>
        <v>100</v>
      </c>
      <c r="I9" s="856"/>
      <c r="J9" s="252">
        <f>SUMIF(53:53,I9,54:54)-SUMIF(53:53,C9,54:54)+100</f>
        <v>100</v>
      </c>
      <c r="K9" s="522"/>
      <c r="L9" s="2118"/>
      <c r="M9" s="2119"/>
      <c r="N9" s="2119"/>
      <c r="O9" s="2120"/>
      <c r="P9" s="3375" t="s">
        <v>535</v>
      </c>
      <c r="Q9" s="1144" t="str">
        <f t="shared" ref="Q9:Q14" si="6">B9</f>
        <v>用途</v>
      </c>
      <c r="R9" s="1552" t="s">
        <v>8</v>
      </c>
      <c r="S9" s="1553">
        <f t="shared" si="0"/>
        <v>100</v>
      </c>
      <c r="T9" s="1552" t="s">
        <v>8</v>
      </c>
      <c r="U9" s="1553">
        <f t="shared" si="1"/>
        <v>100</v>
      </c>
      <c r="V9" s="1552" t="s">
        <v>8</v>
      </c>
      <c r="W9" s="1553">
        <f t="shared" si="2"/>
        <v>100</v>
      </c>
      <c r="X9" s="1554"/>
      <c r="Y9" s="3321" t="s">
        <v>536</v>
      </c>
      <c r="Z9" s="1143" t="str">
        <f t="shared" ref="Z9:Z14" si="7">Q9</f>
        <v>用途</v>
      </c>
      <c r="AA9" s="1555">
        <f t="shared" si="3"/>
        <v>1</v>
      </c>
      <c r="AB9" s="1555">
        <f t="shared" si="4"/>
        <v>1</v>
      </c>
      <c r="AC9" s="1555">
        <f t="shared" si="5"/>
        <v>1</v>
      </c>
    </row>
    <row r="10" spans="1:29" s="1331" customFormat="1" ht="27">
      <c r="A10" s="2868"/>
      <c r="B10" s="2873" t="s">
        <v>2755</v>
      </c>
      <c r="C10" s="859"/>
      <c r="D10" s="253">
        <v>100</v>
      </c>
      <c r="E10" s="859"/>
      <c r="F10" s="253">
        <f>SUMIF(55:55,E10,56:56)-SUMIF(55:55,C10,56:56)+100</f>
        <v>100</v>
      </c>
      <c r="G10" s="860"/>
      <c r="H10" s="253">
        <f>SUMIF(55:55,G10,56:56)-SUMIF(55:55,C10,56:56)+100</f>
        <v>100</v>
      </c>
      <c r="I10" s="859"/>
      <c r="J10" s="253">
        <f>SUMIF(55:55,I10,56:56)-SUMIF(55:55,C10,56:56)+100</f>
        <v>100</v>
      </c>
      <c r="K10" s="582"/>
      <c r="L10" s="2121"/>
      <c r="M10" s="2161"/>
      <c r="N10" s="2161"/>
      <c r="O10" s="2122"/>
      <c r="P10" s="3375"/>
      <c r="Q10" s="1144" t="str">
        <f t="shared" si="6"/>
        <v>土地使用年限（年）</v>
      </c>
      <c r="R10" s="1552" t="s">
        <v>8</v>
      </c>
      <c r="S10" s="1553">
        <f t="shared" si="0"/>
        <v>100</v>
      </c>
      <c r="T10" s="1552" t="s">
        <v>8</v>
      </c>
      <c r="U10" s="1553">
        <f t="shared" si="1"/>
        <v>100</v>
      </c>
      <c r="V10" s="1552" t="s">
        <v>8</v>
      </c>
      <c r="W10" s="1553">
        <f t="shared" si="2"/>
        <v>100</v>
      </c>
      <c r="X10" s="1554"/>
      <c r="Y10" s="3321"/>
      <c r="Z10" s="1143" t="str">
        <f t="shared" si="7"/>
        <v>土地使用年限（年）</v>
      </c>
      <c r="AA10" s="1555">
        <f t="shared" si="3"/>
        <v>1</v>
      </c>
      <c r="AB10" s="1555">
        <f t="shared" si="4"/>
        <v>1</v>
      </c>
      <c r="AC10" s="1555">
        <f t="shared" si="5"/>
        <v>1</v>
      </c>
    </row>
    <row r="11" spans="1:29" ht="15">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375"/>
      <c r="Q11" s="1144">
        <f t="shared" si="6"/>
        <v>111</v>
      </c>
      <c r="R11" s="1552" t="s">
        <v>8</v>
      </c>
      <c r="S11" s="1553">
        <f t="shared" si="0"/>
        <v>100</v>
      </c>
      <c r="T11" s="1552" t="s">
        <v>8</v>
      </c>
      <c r="U11" s="1553">
        <f t="shared" si="1"/>
        <v>100</v>
      </c>
      <c r="V11" s="1552" t="s">
        <v>8</v>
      </c>
      <c r="W11" s="1553">
        <f t="shared" si="2"/>
        <v>100</v>
      </c>
      <c r="X11" s="1554"/>
      <c r="Y11" s="3321"/>
      <c r="Z11" s="1143">
        <f t="shared" si="7"/>
        <v>111</v>
      </c>
      <c r="AA11" s="1555">
        <f t="shared" si="3"/>
        <v>1</v>
      </c>
      <c r="AB11" s="1555">
        <f t="shared" si="4"/>
        <v>1</v>
      </c>
      <c r="AC11" s="1555">
        <f t="shared" si="5"/>
        <v>1</v>
      </c>
    </row>
    <row r="12" spans="1:29" s="1213" customFormat="1" ht="15">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375"/>
      <c r="Q12" s="1144">
        <f t="shared" si="6"/>
        <v>111</v>
      </c>
      <c r="R12" s="1552" t="s">
        <v>8</v>
      </c>
      <c r="S12" s="1553">
        <f t="shared" si="0"/>
        <v>100</v>
      </c>
      <c r="T12" s="1552" t="s">
        <v>8</v>
      </c>
      <c r="U12" s="1553">
        <f t="shared" si="1"/>
        <v>100</v>
      </c>
      <c r="V12" s="1552" t="s">
        <v>8</v>
      </c>
      <c r="W12" s="1553">
        <f t="shared" si="2"/>
        <v>100</v>
      </c>
      <c r="X12" s="1554"/>
      <c r="Y12" s="3321"/>
      <c r="Z12" s="1143">
        <f t="shared" si="7"/>
        <v>111</v>
      </c>
      <c r="AA12" s="1555">
        <f>D12/F12</f>
        <v>1</v>
      </c>
      <c r="AB12" s="1555">
        <f>D12/H12</f>
        <v>1</v>
      </c>
      <c r="AC12" s="1555">
        <f>D12/J12</f>
        <v>1</v>
      </c>
    </row>
    <row r="13" spans="1:29" ht="15.75"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375"/>
      <c r="Q13" s="1144">
        <f t="shared" si="6"/>
        <v>111</v>
      </c>
      <c r="R13" s="1552" t="s">
        <v>8</v>
      </c>
      <c r="S13" s="1553">
        <f t="shared" si="0"/>
        <v>100</v>
      </c>
      <c r="T13" s="1552" t="s">
        <v>8</v>
      </c>
      <c r="U13" s="1553">
        <f t="shared" si="1"/>
        <v>100</v>
      </c>
      <c r="V13" s="1552" t="s">
        <v>8</v>
      </c>
      <c r="W13" s="1553">
        <f t="shared" si="2"/>
        <v>100</v>
      </c>
      <c r="X13" s="1554"/>
      <c r="Y13" s="3321"/>
      <c r="Z13" s="1143">
        <f t="shared" si="7"/>
        <v>111</v>
      </c>
      <c r="AA13" s="1555">
        <f t="shared" si="3"/>
        <v>1</v>
      </c>
      <c r="AB13" s="1555">
        <f t="shared" si="4"/>
        <v>1</v>
      </c>
      <c r="AC13" s="1555">
        <f t="shared" si="5"/>
        <v>1</v>
      </c>
    </row>
    <row r="14" spans="1:29" ht="85.5">
      <c r="A14" s="2863" t="s">
        <v>2752</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5"/>
      <c r="M14" s="2117"/>
      <c r="N14" s="2117"/>
      <c r="O14" s="2124"/>
      <c r="P14" s="3411" t="s">
        <v>540</v>
      </c>
      <c r="Q14" s="1556" t="str">
        <f t="shared" si="6"/>
        <v>交通便捷度</v>
      </c>
      <c r="R14" s="1557" t="s">
        <v>8</v>
      </c>
      <c r="S14" s="1558">
        <f t="shared" si="0"/>
        <v>100</v>
      </c>
      <c r="T14" s="1557" t="s">
        <v>8</v>
      </c>
      <c r="U14" s="1558">
        <f t="shared" si="1"/>
        <v>100</v>
      </c>
      <c r="V14" s="1557" t="s">
        <v>8</v>
      </c>
      <c r="W14" s="1558">
        <f t="shared" si="2"/>
        <v>100</v>
      </c>
      <c r="X14" s="1551"/>
      <c r="Y14" s="3411" t="s">
        <v>540</v>
      </c>
      <c r="Z14" s="1559" t="str">
        <f t="shared" si="7"/>
        <v>交通便捷度</v>
      </c>
      <c r="AA14" s="1560">
        <f t="shared" si="3"/>
        <v>1</v>
      </c>
      <c r="AB14" s="1560">
        <f t="shared" si="4"/>
        <v>1</v>
      </c>
      <c r="AC14" s="1560">
        <f t="shared" si="5"/>
        <v>1</v>
      </c>
    </row>
    <row r="15" spans="1:29" ht="15">
      <c r="A15" s="513"/>
      <c r="B15" s="921"/>
      <c r="C15" s="574"/>
      <c r="D15" s="553"/>
      <c r="E15" s="574"/>
      <c r="F15" s="555"/>
      <c r="G15" s="574"/>
      <c r="H15" s="557"/>
      <c r="I15" s="574"/>
      <c r="J15" s="553"/>
      <c r="K15" s="896"/>
      <c r="L15" s="2125"/>
      <c r="M15" s="2117"/>
      <c r="N15" s="2117"/>
      <c r="O15" s="2124"/>
      <c r="P15" s="3412"/>
      <c r="Q15" s="1556"/>
      <c r="R15" s="1557"/>
      <c r="S15" s="1558"/>
      <c r="T15" s="1557"/>
      <c r="U15" s="1558"/>
      <c r="V15" s="1557"/>
      <c r="W15" s="1558"/>
      <c r="X15" s="1551"/>
      <c r="Y15" s="3412"/>
      <c r="Z15" s="1559"/>
      <c r="AA15" s="1560">
        <v>1</v>
      </c>
      <c r="AB15" s="1560">
        <v>1</v>
      </c>
      <c r="AC15" s="1560">
        <v>1</v>
      </c>
    </row>
    <row r="16" spans="1:29" ht="42.75">
      <c r="A16" s="513"/>
      <c r="B16" s="2565" t="s">
        <v>2544</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5"/>
      <c r="M16" s="2117"/>
      <c r="N16" s="2117"/>
      <c r="O16" s="2124"/>
      <c r="P16" s="3412"/>
      <c r="Q16" s="1556" t="str">
        <f>B16</f>
        <v>公共配套设施</v>
      </c>
      <c r="R16" s="1557" t="s">
        <v>8</v>
      </c>
      <c r="S16" s="1558">
        <f>F16</f>
        <v>100</v>
      </c>
      <c r="T16" s="1557" t="s">
        <v>8</v>
      </c>
      <c r="U16" s="1558">
        <f>H16</f>
        <v>100</v>
      </c>
      <c r="V16" s="1557" t="s">
        <v>8</v>
      </c>
      <c r="W16" s="1558">
        <f>J16</f>
        <v>100</v>
      </c>
      <c r="X16" s="1551"/>
      <c r="Y16" s="3412"/>
      <c r="Z16" s="1559" t="str">
        <f>Q16</f>
        <v>公共配套设施</v>
      </c>
      <c r="AA16" s="1560">
        <f t="shared" si="3"/>
        <v>1</v>
      </c>
      <c r="AB16" s="1560">
        <f t="shared" si="4"/>
        <v>1</v>
      </c>
      <c r="AC16" s="1560">
        <f t="shared" si="5"/>
        <v>1</v>
      </c>
    </row>
    <row r="17" spans="1:29" ht="15">
      <c r="A17" s="513"/>
      <c r="B17" s="564"/>
      <c r="C17" s="871"/>
      <c r="D17" s="553"/>
      <c r="E17" s="574"/>
      <c r="F17" s="555"/>
      <c r="G17" s="574"/>
      <c r="H17" s="553"/>
      <c r="I17" s="574"/>
      <c r="J17" s="553"/>
      <c r="K17" s="896"/>
      <c r="L17" s="2125"/>
      <c r="M17" s="2117"/>
      <c r="N17" s="2117"/>
      <c r="O17" s="2124"/>
      <c r="P17" s="3412"/>
      <c r="Q17" s="1556"/>
      <c r="R17" s="1557"/>
      <c r="S17" s="1558"/>
      <c r="T17" s="1557"/>
      <c r="U17" s="1558"/>
      <c r="V17" s="1557"/>
      <c r="W17" s="1558"/>
      <c r="X17" s="1551"/>
      <c r="Y17" s="3412"/>
      <c r="Z17" s="1559"/>
      <c r="AA17" s="1560">
        <v>1</v>
      </c>
      <c r="AB17" s="1560">
        <v>1</v>
      </c>
      <c r="AC17" s="1560">
        <v>1</v>
      </c>
    </row>
    <row r="18" spans="1:29" ht="28.5">
      <c r="A18" s="513"/>
      <c r="B18" s="2553" t="s">
        <v>2556</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5"/>
      <c r="M18" s="2117"/>
      <c r="N18" s="2117"/>
      <c r="O18" s="2124"/>
      <c r="P18" s="3412"/>
      <c r="Q18" s="2541" t="str">
        <f>B18</f>
        <v>基础设施水平</v>
      </c>
      <c r="R18" s="1557" t="s">
        <v>8</v>
      </c>
      <c r="S18" s="1558">
        <f>F18</f>
        <v>100</v>
      </c>
      <c r="T18" s="1557" t="s">
        <v>8</v>
      </c>
      <c r="U18" s="1558">
        <f>H18</f>
        <v>100</v>
      </c>
      <c r="V18" s="1557" t="s">
        <v>8</v>
      </c>
      <c r="W18" s="1558">
        <f>J18</f>
        <v>100</v>
      </c>
      <c r="X18" s="2543"/>
      <c r="Y18" s="3412"/>
      <c r="Z18" s="2542" t="str">
        <f>Q18</f>
        <v>基础设施水平</v>
      </c>
      <c r="AA18" s="1560">
        <f t="shared" ref="AA18" si="8">D18/F18</f>
        <v>1</v>
      </c>
      <c r="AB18" s="1560">
        <f t="shared" ref="AB18" si="9">D18/H18</f>
        <v>1</v>
      </c>
      <c r="AC18" s="1560">
        <f t="shared" ref="AC18" si="10">D18/J18</f>
        <v>1</v>
      </c>
    </row>
    <row r="19" spans="1:29" ht="15">
      <c r="A19" s="513"/>
      <c r="B19" s="576"/>
      <c r="C19" s="871"/>
      <c r="D19" s="557"/>
      <c r="E19" s="574"/>
      <c r="F19" s="555"/>
      <c r="G19" s="574"/>
      <c r="H19" s="553"/>
      <c r="I19" s="574"/>
      <c r="J19" s="553"/>
      <c r="K19" s="2564"/>
      <c r="L19" s="2125"/>
      <c r="M19" s="2117"/>
      <c r="N19" s="2117"/>
      <c r="O19" s="2124"/>
      <c r="P19" s="3412"/>
      <c r="Q19" s="2541"/>
      <c r="R19" s="1557"/>
      <c r="S19" s="1558"/>
      <c r="T19" s="1557"/>
      <c r="U19" s="1558"/>
      <c r="V19" s="1557"/>
      <c r="W19" s="1558"/>
      <c r="X19" s="2543"/>
      <c r="Y19" s="3412"/>
      <c r="Z19" s="2542"/>
      <c r="AA19" s="1560">
        <v>1</v>
      </c>
      <c r="AB19" s="1560">
        <v>1</v>
      </c>
      <c r="AC19" s="1560">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5"/>
      <c r="M20" s="2117"/>
      <c r="N20" s="2117"/>
      <c r="O20" s="2124"/>
      <c r="P20" s="3412"/>
      <c r="Q20" s="1556" t="str">
        <f>B20</f>
        <v>自然及人文环境</v>
      </c>
      <c r="R20" s="1557" t="s">
        <v>8</v>
      </c>
      <c r="S20" s="1558">
        <f>F20</f>
        <v>100</v>
      </c>
      <c r="T20" s="1557" t="s">
        <v>8</v>
      </c>
      <c r="U20" s="1558">
        <f>H20</f>
        <v>100</v>
      </c>
      <c r="V20" s="1557" t="s">
        <v>8</v>
      </c>
      <c r="W20" s="1558">
        <f>J20</f>
        <v>100</v>
      </c>
      <c r="X20" s="1551"/>
      <c r="Y20" s="3412"/>
      <c r="Z20" s="1559" t="str">
        <f>Q20</f>
        <v>自然及人文环境</v>
      </c>
      <c r="AA20" s="1560">
        <f t="shared" si="3"/>
        <v>1</v>
      </c>
      <c r="AB20" s="1560">
        <f t="shared" si="4"/>
        <v>1</v>
      </c>
      <c r="AC20" s="1560">
        <f t="shared" si="5"/>
        <v>1</v>
      </c>
    </row>
    <row r="21" spans="1:29" ht="15">
      <c r="A21" s="513"/>
      <c r="B21" s="564"/>
      <c r="C21" s="574"/>
      <c r="D21" s="553"/>
      <c r="E21" s="574"/>
      <c r="F21" s="555"/>
      <c r="G21" s="574"/>
      <c r="H21" s="553"/>
      <c r="I21" s="574"/>
      <c r="J21" s="553"/>
      <c r="K21" s="896"/>
      <c r="L21" s="2125"/>
      <c r="M21" s="2117"/>
      <c r="N21" s="2117"/>
      <c r="O21" s="2124"/>
      <c r="P21" s="3412"/>
      <c r="Q21" s="1556"/>
      <c r="R21" s="1557"/>
      <c r="S21" s="1558"/>
      <c r="T21" s="1557"/>
      <c r="U21" s="1558"/>
      <c r="V21" s="1557"/>
      <c r="W21" s="1558"/>
      <c r="X21" s="1551"/>
      <c r="Y21" s="3412"/>
      <c r="Z21" s="1559"/>
      <c r="AA21" s="1560">
        <v>1</v>
      </c>
      <c r="AB21" s="1560">
        <v>1</v>
      </c>
      <c r="AC21" s="1560">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12"/>
      <c r="Q22" s="1556" t="str">
        <f>B22</f>
        <v>楼层</v>
      </c>
      <c r="R22" s="1557" t="s">
        <v>8</v>
      </c>
      <c r="S22" s="1558">
        <f>F22</f>
        <v>100</v>
      </c>
      <c r="T22" s="1557" t="s">
        <v>8</v>
      </c>
      <c r="U22" s="1558">
        <f>H22</f>
        <v>100</v>
      </c>
      <c r="V22" s="1557" t="s">
        <v>8</v>
      </c>
      <c r="W22" s="1558">
        <f>J22</f>
        <v>100</v>
      </c>
      <c r="X22" s="1551"/>
      <c r="Y22" s="3412"/>
      <c r="Z22" s="1559" t="str">
        <f>Q22</f>
        <v>楼层</v>
      </c>
      <c r="AA22" s="1560">
        <f t="shared" si="3"/>
        <v>1</v>
      </c>
      <c r="AB22" s="1560">
        <f t="shared" si="4"/>
        <v>1</v>
      </c>
      <c r="AC22" s="1560">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12"/>
      <c r="Q23" s="1556">
        <f>B23</f>
        <v>111</v>
      </c>
      <c r="R23" s="1557" t="s">
        <v>8</v>
      </c>
      <c r="S23" s="1558">
        <f>F23</f>
        <v>100</v>
      </c>
      <c r="T23" s="1557" t="s">
        <v>8</v>
      </c>
      <c r="U23" s="1558">
        <f>H23</f>
        <v>100</v>
      </c>
      <c r="V23" s="1557" t="s">
        <v>8</v>
      </c>
      <c r="W23" s="1558">
        <f>J23</f>
        <v>100</v>
      </c>
      <c r="X23" s="1551"/>
      <c r="Y23" s="3412"/>
      <c r="Z23" s="1559">
        <f>Q23</f>
        <v>111</v>
      </c>
      <c r="AA23" s="1560">
        <f t="shared" si="3"/>
        <v>1</v>
      </c>
      <c r="AB23" s="1560">
        <f t="shared" si="4"/>
        <v>1</v>
      </c>
      <c r="AC23" s="1560">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12"/>
      <c r="Q24" s="1556">
        <f t="shared" ref="Q24:Q36" si="11">B24</f>
        <v>111</v>
      </c>
      <c r="R24" s="1557" t="s">
        <v>8</v>
      </c>
      <c r="S24" s="1558">
        <f>F24</f>
        <v>100</v>
      </c>
      <c r="T24" s="1557" t="s">
        <v>8</v>
      </c>
      <c r="U24" s="1558">
        <f>H24</f>
        <v>100</v>
      </c>
      <c r="V24" s="1557" t="s">
        <v>8</v>
      </c>
      <c r="W24" s="1558">
        <f>J24</f>
        <v>100</v>
      </c>
      <c r="X24" s="1551"/>
      <c r="Y24" s="3412"/>
      <c r="Z24" s="1559">
        <f>Q24</f>
        <v>111</v>
      </c>
      <c r="AA24" s="1560">
        <f t="shared" si="3"/>
        <v>1</v>
      </c>
      <c r="AB24" s="1560">
        <f t="shared" si="4"/>
        <v>1</v>
      </c>
      <c r="AC24" s="1560">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8"/>
      <c r="M25" s="2119"/>
      <c r="N25" s="2119"/>
      <c r="O25" s="2120"/>
      <c r="P25" s="3412"/>
      <c r="Q25" s="1144">
        <f t="shared" si="11"/>
        <v>111</v>
      </c>
      <c r="R25" s="1552" t="s">
        <v>8</v>
      </c>
      <c r="S25" s="1553">
        <f>F25</f>
        <v>100</v>
      </c>
      <c r="T25" s="1552" t="s">
        <v>8</v>
      </c>
      <c r="U25" s="1553">
        <f>H25</f>
        <v>100</v>
      </c>
      <c r="V25" s="1552" t="s">
        <v>8</v>
      </c>
      <c r="W25" s="1553">
        <f>J25</f>
        <v>100</v>
      </c>
      <c r="X25" s="1554"/>
      <c r="Y25" s="3412"/>
      <c r="Z25" s="1143">
        <f>Q25</f>
        <v>111</v>
      </c>
      <c r="AA25" s="1560">
        <f>D25/F25</f>
        <v>1</v>
      </c>
      <c r="AB25" s="1560">
        <f>D25/H25</f>
        <v>1</v>
      </c>
      <c r="AC25" s="1560">
        <f>D25/J25</f>
        <v>1</v>
      </c>
    </row>
    <row r="26" spans="1:29" ht="15">
      <c r="A26" s="2860" t="s">
        <v>2753</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5"/>
      <c r="M26" s="2117"/>
      <c r="N26" s="2117"/>
      <c r="O26" s="2124"/>
      <c r="P26" s="3413"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4" t="s">
        <v>550</v>
      </c>
      <c r="Z26" s="1559" t="str">
        <f t="shared" ref="Z26:Z36" si="15">Q26</f>
        <v>配套类型</v>
      </c>
      <c r="AA26" s="1560">
        <f t="shared" si="3"/>
        <v>1</v>
      </c>
      <c r="AB26" s="1560">
        <f t="shared" si="4"/>
        <v>1</v>
      </c>
      <c r="AC26" s="1560">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3"/>
      <c r="M27" s="2154"/>
      <c r="N27" s="2154"/>
      <c r="O27" s="2126"/>
      <c r="P27" s="3414"/>
      <c r="Q27" s="1588" t="str">
        <f t="shared" si="11"/>
        <v>项目停车位配比</v>
      </c>
      <c r="R27" s="1561" t="s">
        <v>8</v>
      </c>
      <c r="S27" s="1562">
        <f t="shared" si="12"/>
        <v>100</v>
      </c>
      <c r="T27" s="1561" t="s">
        <v>8</v>
      </c>
      <c r="U27" s="1562">
        <f t="shared" si="13"/>
        <v>100</v>
      </c>
      <c r="V27" s="1561" t="s">
        <v>8</v>
      </c>
      <c r="W27" s="1562">
        <f t="shared" si="14"/>
        <v>100</v>
      </c>
      <c r="X27" s="1563"/>
      <c r="Y27" s="3414"/>
      <c r="Z27" s="1564" t="str">
        <f t="shared" si="15"/>
        <v>项目停车位配比</v>
      </c>
      <c r="AA27" s="1560">
        <f t="shared" si="3"/>
        <v>1</v>
      </c>
      <c r="AB27" s="1560">
        <f t="shared" si="4"/>
        <v>1</v>
      </c>
      <c r="AC27" s="1560">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5"/>
      <c r="M28" s="2117"/>
      <c r="N28" s="2117"/>
      <c r="O28" s="2124"/>
      <c r="P28" s="3414"/>
      <c r="Q28" s="1556" t="str">
        <f t="shared" si="11"/>
        <v>公共部分装修</v>
      </c>
      <c r="R28" s="1557" t="s">
        <v>8</v>
      </c>
      <c r="S28" s="1558">
        <f t="shared" si="12"/>
        <v>100</v>
      </c>
      <c r="T28" s="1557" t="s">
        <v>8</v>
      </c>
      <c r="U28" s="1558">
        <f t="shared" si="13"/>
        <v>100</v>
      </c>
      <c r="V28" s="1557" t="s">
        <v>8</v>
      </c>
      <c r="W28" s="1558">
        <f t="shared" si="14"/>
        <v>100</v>
      </c>
      <c r="X28" s="1551"/>
      <c r="Y28" s="3414"/>
      <c r="Z28" s="1559" t="str">
        <f t="shared" si="15"/>
        <v>公共部分装修</v>
      </c>
      <c r="AA28" s="1560">
        <f t="shared" si="3"/>
        <v>1</v>
      </c>
      <c r="AB28" s="1560">
        <f t="shared" si="4"/>
        <v>1</v>
      </c>
      <c r="AC28" s="1560">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5"/>
      <c r="M29" s="2117"/>
      <c r="N29" s="2117"/>
      <c r="O29" s="2124"/>
      <c r="P29" s="3414"/>
      <c r="Q29" s="1556" t="str">
        <f t="shared" si="11"/>
        <v>成新率</v>
      </c>
      <c r="R29" s="1557" t="s">
        <v>8</v>
      </c>
      <c r="S29" s="1558" t="e">
        <f t="shared" si="12"/>
        <v>#N/A</v>
      </c>
      <c r="T29" s="1557" t="s">
        <v>8</v>
      </c>
      <c r="U29" s="1558" t="e">
        <f t="shared" si="13"/>
        <v>#N/A</v>
      </c>
      <c r="V29" s="1557" t="s">
        <v>8</v>
      </c>
      <c r="W29" s="1558" t="e">
        <f t="shared" si="14"/>
        <v>#N/A</v>
      </c>
      <c r="X29" s="1551"/>
      <c r="Y29" s="3414"/>
      <c r="Z29" s="1559" t="str">
        <f t="shared" si="15"/>
        <v>成新率</v>
      </c>
      <c r="AA29" s="1560" t="e">
        <f t="shared" si="3"/>
        <v>#N/A</v>
      </c>
      <c r="AB29" s="1560" t="e">
        <f t="shared" si="4"/>
        <v>#N/A</v>
      </c>
      <c r="AC29" s="1560"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5"/>
      <c r="M30" s="2117"/>
      <c r="N30" s="2117"/>
      <c r="O30" s="2124"/>
      <c r="P30" s="3414"/>
      <c r="Q30" s="1556" t="str">
        <f t="shared" si="11"/>
        <v>物业等级</v>
      </c>
      <c r="R30" s="1557" t="s">
        <v>8</v>
      </c>
      <c r="S30" s="1558">
        <f t="shared" si="12"/>
        <v>100</v>
      </c>
      <c r="T30" s="1557" t="s">
        <v>8</v>
      </c>
      <c r="U30" s="1558">
        <f t="shared" si="13"/>
        <v>100</v>
      </c>
      <c r="V30" s="1557" t="s">
        <v>8</v>
      </c>
      <c r="W30" s="1558">
        <f t="shared" si="14"/>
        <v>100</v>
      </c>
      <c r="X30" s="1551"/>
      <c r="Y30" s="3414"/>
      <c r="Z30" s="1559" t="str">
        <f t="shared" si="15"/>
        <v>物业等级</v>
      </c>
      <c r="AA30" s="1560">
        <f t="shared" si="3"/>
        <v>1</v>
      </c>
      <c r="AB30" s="1560">
        <f t="shared" si="4"/>
        <v>1</v>
      </c>
      <c r="AC30" s="1560">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8"/>
      <c r="M31" s="2119"/>
      <c r="N31" s="2119"/>
      <c r="O31" s="2120"/>
      <c r="P31" s="3414"/>
      <c r="Q31" s="1144" t="str">
        <f t="shared" si="11"/>
        <v>停车位面积</v>
      </c>
      <c r="R31" s="1552" t="s">
        <v>8</v>
      </c>
      <c r="S31" s="1553" t="e">
        <f t="shared" si="12"/>
        <v>#N/A</v>
      </c>
      <c r="T31" s="1552" t="s">
        <v>8</v>
      </c>
      <c r="U31" s="1553" t="e">
        <f t="shared" si="13"/>
        <v>#N/A</v>
      </c>
      <c r="V31" s="1552" t="s">
        <v>8</v>
      </c>
      <c r="W31" s="1553" t="e">
        <f t="shared" si="14"/>
        <v>#N/A</v>
      </c>
      <c r="X31" s="1554"/>
      <c r="Y31" s="3414"/>
      <c r="Z31" s="1143" t="str">
        <f t="shared" si="15"/>
        <v>停车位面积</v>
      </c>
      <c r="AA31" s="1555" t="e">
        <f t="shared" si="3"/>
        <v>#N/A</v>
      </c>
      <c r="AB31" s="1555" t="e">
        <f t="shared" si="4"/>
        <v>#N/A</v>
      </c>
      <c r="AC31" s="1555"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5"/>
      <c r="M32" s="2117"/>
      <c r="N32" s="2117"/>
      <c r="O32" s="2124"/>
      <c r="P32" s="3414" t="s">
        <v>550</v>
      </c>
      <c r="Q32" s="1556" t="str">
        <f t="shared" si="11"/>
        <v>车位类型</v>
      </c>
      <c r="R32" s="1557" t="s">
        <v>8</v>
      </c>
      <c r="S32" s="1558">
        <f t="shared" si="12"/>
        <v>100</v>
      </c>
      <c r="T32" s="1557" t="s">
        <v>8</v>
      </c>
      <c r="U32" s="1558">
        <f t="shared" si="13"/>
        <v>100</v>
      </c>
      <c r="V32" s="1557" t="s">
        <v>8</v>
      </c>
      <c r="W32" s="1558">
        <f t="shared" si="14"/>
        <v>100</v>
      </c>
      <c r="X32" s="1551"/>
      <c r="Y32" s="3414" t="s">
        <v>550</v>
      </c>
      <c r="Z32" s="1559" t="str">
        <f t="shared" si="15"/>
        <v>车位类型</v>
      </c>
      <c r="AA32" s="1560">
        <f t="shared" si="3"/>
        <v>1</v>
      </c>
      <c r="AB32" s="1560">
        <f t="shared" si="4"/>
        <v>1</v>
      </c>
      <c r="AC32" s="1560">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5"/>
      <c r="M33" s="2117"/>
      <c r="N33" s="2117"/>
      <c r="O33" s="2124"/>
      <c r="P33" s="3414"/>
      <c r="Q33" s="1556" t="str">
        <f t="shared" si="11"/>
        <v>是否直接入户</v>
      </c>
      <c r="R33" s="1557" t="s">
        <v>8</v>
      </c>
      <c r="S33" s="1558">
        <f t="shared" si="12"/>
        <v>100</v>
      </c>
      <c r="T33" s="1557" t="s">
        <v>8</v>
      </c>
      <c r="U33" s="1558">
        <f t="shared" si="13"/>
        <v>100</v>
      </c>
      <c r="V33" s="1557" t="s">
        <v>8</v>
      </c>
      <c r="W33" s="1558">
        <f t="shared" si="14"/>
        <v>100</v>
      </c>
      <c r="X33" s="1551"/>
      <c r="Y33" s="3414"/>
      <c r="Z33" s="1559" t="str">
        <f t="shared" si="15"/>
        <v>是否直接入户</v>
      </c>
      <c r="AA33" s="1560">
        <f t="shared" si="3"/>
        <v>1</v>
      </c>
      <c r="AB33" s="1560">
        <f t="shared" si="4"/>
        <v>1</v>
      </c>
      <c r="AC33" s="1560">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14"/>
      <c r="Q34" s="1556">
        <f t="shared" si="11"/>
        <v>111</v>
      </c>
      <c r="R34" s="1557" t="s">
        <v>8</v>
      </c>
      <c r="S34" s="1558">
        <f t="shared" si="12"/>
        <v>100</v>
      </c>
      <c r="T34" s="1557" t="s">
        <v>8</v>
      </c>
      <c r="U34" s="1558">
        <f t="shared" si="13"/>
        <v>100</v>
      </c>
      <c r="V34" s="1557" t="s">
        <v>8</v>
      </c>
      <c r="W34" s="1558">
        <f t="shared" si="14"/>
        <v>100</v>
      </c>
      <c r="X34" s="1551"/>
      <c r="Y34" s="3414"/>
      <c r="Z34" s="1559">
        <f t="shared" si="15"/>
        <v>111</v>
      </c>
      <c r="AA34" s="1560">
        <f t="shared" si="3"/>
        <v>1</v>
      </c>
      <c r="AB34" s="1560">
        <f t="shared" si="4"/>
        <v>1</v>
      </c>
      <c r="AC34" s="1560">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14"/>
      <c r="Q35" s="1588">
        <f t="shared" si="11"/>
        <v>111</v>
      </c>
      <c r="R35" s="1561" t="s">
        <v>8</v>
      </c>
      <c r="S35" s="1562">
        <f t="shared" si="12"/>
        <v>100</v>
      </c>
      <c r="T35" s="1561" t="s">
        <v>8</v>
      </c>
      <c r="U35" s="1562">
        <f t="shared" si="13"/>
        <v>100</v>
      </c>
      <c r="V35" s="1561" t="s">
        <v>8</v>
      </c>
      <c r="W35" s="1562">
        <f t="shared" si="14"/>
        <v>100</v>
      </c>
      <c r="X35" s="1563"/>
      <c r="Y35" s="3414"/>
      <c r="Z35" s="1564">
        <f t="shared" si="15"/>
        <v>111</v>
      </c>
      <c r="AA35" s="1560">
        <f t="shared" si="3"/>
        <v>1</v>
      </c>
      <c r="AB35" s="1560">
        <f t="shared" si="4"/>
        <v>1</v>
      </c>
      <c r="AC35" s="1560">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14"/>
      <c r="Q36" s="1556">
        <f t="shared" si="11"/>
        <v>111</v>
      </c>
      <c r="R36" s="1557" t="s">
        <v>8</v>
      </c>
      <c r="S36" s="1558">
        <f t="shared" si="12"/>
        <v>100</v>
      </c>
      <c r="T36" s="1557" t="s">
        <v>8</v>
      </c>
      <c r="U36" s="1558">
        <f t="shared" si="13"/>
        <v>100</v>
      </c>
      <c r="V36" s="1557" t="s">
        <v>8</v>
      </c>
      <c r="W36" s="1558">
        <f t="shared" si="14"/>
        <v>100</v>
      </c>
      <c r="X36" s="1551"/>
      <c r="Y36" s="3414"/>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375" t="str">
        <f>A37</f>
        <v>成交单价</v>
      </c>
      <c r="Q37" s="3375"/>
      <c r="R37" s="3471">
        <f>E37</f>
        <v>0</v>
      </c>
      <c r="S37" s="3471"/>
      <c r="T37" s="3471">
        <f>G37</f>
        <v>0</v>
      </c>
      <c r="U37" s="3471"/>
      <c r="V37" s="3471">
        <f>I37</f>
        <v>0</v>
      </c>
      <c r="W37" s="3471"/>
      <c r="X37" s="1543"/>
      <c r="Y37" s="1565"/>
      <c r="Z37" s="1543"/>
      <c r="AA37" s="1543"/>
      <c r="AB37" s="1543"/>
      <c r="AC37" s="1543"/>
    </row>
    <row r="38" spans="1:29" ht="15.75" thickBot="1">
      <c r="A38" s="613" t="s">
        <v>2758</v>
      </c>
      <c r="B38" s="885"/>
      <c r="C38" s="2595" t="e">
        <f>R39</f>
        <v>#DIV/0!</v>
      </c>
      <c r="D38" s="2596"/>
      <c r="E38" s="2597" t="e">
        <f>R38</f>
        <v>#DIV/0!</v>
      </c>
      <c r="F38" s="2597"/>
      <c r="G38" s="2595" t="e">
        <f>T38</f>
        <v>#DIV/0!</v>
      </c>
      <c r="H38" s="2596"/>
      <c r="I38" s="2597" t="e">
        <f>V38</f>
        <v>#DIV/0!</v>
      </c>
      <c r="J38" s="2596"/>
      <c r="K38" s="1595"/>
      <c r="L38" s="2127"/>
      <c r="M38" s="2128"/>
      <c r="N38" s="2128"/>
      <c r="O38" s="2128"/>
      <c r="P38" s="3375" t="str">
        <f>A38</f>
        <v>比较价格（元/平方米）</v>
      </c>
      <c r="Q38" s="3375"/>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3"/>
      <c r="Y38" s="1543"/>
      <c r="Z38" s="1543"/>
      <c r="AA38" s="1543"/>
      <c r="AB38" s="1543"/>
      <c r="AC38" s="1543"/>
    </row>
    <row r="39" spans="1:29" ht="15.75" thickBot="1">
      <c r="A39" s="619" t="s">
        <v>2933</v>
      </c>
      <c r="B39" s="620"/>
      <c r="C39" s="2598" t="e">
        <f>R39</f>
        <v>#DIV/0!</v>
      </c>
      <c r="D39" s="2598"/>
      <c r="E39" s="2598"/>
      <c r="F39" s="2598"/>
      <c r="G39" s="2598"/>
      <c r="H39" s="2598"/>
      <c r="I39" s="2598"/>
      <c r="J39" s="2598"/>
      <c r="K39" s="1596"/>
      <c r="L39" s="2127"/>
      <c r="M39" s="2128"/>
      <c r="N39" s="2128"/>
      <c r="O39" s="2128"/>
      <c r="P39" s="3372" t="str">
        <f>A39</f>
        <v>估价对象XX用房的比较价格（楼面单价，元/平方米）</v>
      </c>
      <c r="Q39" s="3373"/>
      <c r="R39" s="3470" t="e">
        <f>IF(F1="售价",ROUND(AVERAGE(R38:V38),0),ROUND(AVERAGE(R38:V38),1))</f>
        <v>#DIV/0!</v>
      </c>
      <c r="S39" s="3470"/>
      <c r="T39" s="3470"/>
      <c r="U39" s="3470"/>
      <c r="V39" s="3470"/>
      <c r="W39" s="347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3" t="s">
        <v>529</v>
      </c>
      <c r="B48" s="644"/>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3" customFormat="1" ht="15">
      <c r="A49" s="645"/>
      <c r="B49" s="646"/>
      <c r="C49" s="2756">
        <v>100</v>
      </c>
      <c r="D49" s="648"/>
      <c r="E49" s="648"/>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3"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3"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f>C9</f>
        <v>0</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2">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2555</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2556</v>
      </c>
      <c r="C67" s="2560" t="s">
        <v>2557</v>
      </c>
      <c r="D67" s="2560" t="s">
        <v>2558</v>
      </c>
      <c r="E67" s="2560" t="s">
        <v>2559</v>
      </c>
      <c r="F67" s="2560" t="s">
        <v>2560</v>
      </c>
      <c r="G67" s="2560" t="s">
        <v>2561</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745</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7"/>
      <c r="B73" s="671">
        <f>B23</f>
        <v>111</v>
      </c>
      <c r="C73" s="539"/>
      <c r="D73" s="539"/>
      <c r="E73" s="539"/>
      <c r="F73" s="539"/>
      <c r="G73" s="686"/>
      <c r="H73" s="686"/>
      <c r="I73" s="686"/>
      <c r="J73" s="686"/>
      <c r="K73" s="686"/>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7"/>
      <c r="B75" s="671">
        <f>B24</f>
        <v>111</v>
      </c>
      <c r="C75" s="539"/>
      <c r="D75" s="539"/>
      <c r="E75" s="539"/>
      <c r="F75" s="539"/>
      <c r="G75" s="686"/>
      <c r="H75" s="686"/>
      <c r="I75" s="686"/>
      <c r="J75" s="686"/>
      <c r="K75" s="686"/>
      <c r="L75" s="686"/>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814</v>
      </c>
      <c r="C79" s="702">
        <f>C26</f>
        <v>0</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815</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751</v>
      </c>
      <c r="C83" s="686"/>
      <c r="D83" s="686"/>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6"/>
      <c r="B91" s="679"/>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5"/>
      <c r="B92" s="676"/>
      <c r="C92" s="690"/>
      <c r="D92" s="669"/>
      <c r="E92" s="669"/>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820</v>
      </c>
      <c r="C95" s="596"/>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4">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2"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1" t="s">
        <v>794</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7" t="s">
        <v>795</v>
      </c>
      <c r="B3" s="508" t="e">
        <f>C37</f>
        <v>#DIV/0!</v>
      </c>
      <c r="C3" s="850" t="s">
        <v>796</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381" t="s">
        <v>798</v>
      </c>
      <c r="D4" s="3382"/>
      <c r="E4" s="3417" t="s">
        <v>799</v>
      </c>
      <c r="F4" s="3418"/>
      <c r="G4" s="3381" t="s">
        <v>800</v>
      </c>
      <c r="H4" s="3382"/>
      <c r="I4" s="3381" t="s">
        <v>801</v>
      </c>
      <c r="J4" s="3382"/>
      <c r="K4" s="512" t="s">
        <v>802</v>
      </c>
      <c r="L4" s="2116"/>
      <c r="M4" s="2117"/>
      <c r="N4" s="2117"/>
      <c r="O4" s="2117"/>
      <c r="P4" s="3383" t="s">
        <v>803</v>
      </c>
      <c r="Q4" s="3384"/>
      <c r="R4" s="3389" t="s">
        <v>799</v>
      </c>
      <c r="S4" s="3390"/>
      <c r="T4" s="3389" t="s">
        <v>800</v>
      </c>
      <c r="U4" s="3390"/>
      <c r="V4" s="3376" t="s">
        <v>801</v>
      </c>
      <c r="W4" s="3376"/>
      <c r="X4" s="1551"/>
      <c r="Y4" s="3389" t="s">
        <v>803</v>
      </c>
      <c r="Z4" s="3390"/>
      <c r="AA4" s="3378" t="s">
        <v>799</v>
      </c>
      <c r="AB4" s="3379" t="s">
        <v>800</v>
      </c>
      <c r="AC4" s="3378" t="s">
        <v>801</v>
      </c>
    </row>
    <row r="5" spans="1:29" ht="15">
      <c r="A5" s="513"/>
      <c r="B5" s="514"/>
      <c r="C5" s="3399" t="s">
        <v>2927</v>
      </c>
      <c r="D5" s="3400"/>
      <c r="E5" s="3419" t="s">
        <v>2928</v>
      </c>
      <c r="F5" s="3420"/>
      <c r="G5" s="3399" t="s">
        <v>2929</v>
      </c>
      <c r="H5" s="3400"/>
      <c r="I5" s="3399" t="s">
        <v>2930</v>
      </c>
      <c r="J5" s="3400"/>
      <c r="K5" s="512"/>
      <c r="L5" s="2116"/>
      <c r="M5" s="2117"/>
      <c r="N5" s="2117"/>
      <c r="O5" s="2117"/>
      <c r="P5" s="3385"/>
      <c r="Q5" s="3386"/>
      <c r="R5" s="3391"/>
      <c r="S5" s="3392"/>
      <c r="T5" s="3391"/>
      <c r="U5" s="3392"/>
      <c r="V5" s="3376"/>
      <c r="W5" s="3376"/>
      <c r="X5" s="1551"/>
      <c r="Y5" s="3391"/>
      <c r="Z5" s="3392"/>
      <c r="AA5" s="3379"/>
      <c r="AB5" s="3379"/>
      <c r="AC5" s="3379"/>
    </row>
    <row r="6" spans="1:29" ht="15.75" thickBot="1">
      <c r="A6" s="515"/>
      <c r="B6" s="516"/>
      <c r="C6" s="3395" t="s">
        <v>2931</v>
      </c>
      <c r="D6" s="3396"/>
      <c r="E6" s="3415" t="s">
        <v>2931</v>
      </c>
      <c r="F6" s="3416"/>
      <c r="G6" s="3395" t="s">
        <v>2931</v>
      </c>
      <c r="H6" s="3396"/>
      <c r="I6" s="3395" t="s">
        <v>2931</v>
      </c>
      <c r="J6" s="3396"/>
      <c r="K6" s="512" t="s">
        <v>528</v>
      </c>
      <c r="L6" s="2116"/>
      <c r="M6" s="2117"/>
      <c r="N6" s="2117"/>
      <c r="O6" s="2117"/>
      <c r="P6" s="3387"/>
      <c r="Q6" s="3388"/>
      <c r="R6" s="3391"/>
      <c r="S6" s="3392"/>
      <c r="T6" s="3393"/>
      <c r="U6" s="3394"/>
      <c r="V6" s="3376"/>
      <c r="W6" s="3376"/>
      <c r="X6" s="1551"/>
      <c r="Y6" s="3393"/>
      <c r="Z6" s="3394"/>
      <c r="AA6" s="3380"/>
      <c r="AB6" s="3380"/>
      <c r="AC6" s="3380"/>
    </row>
    <row r="7" spans="1:29" s="1213" customFormat="1" ht="15.75" thickBot="1">
      <c r="A7" s="2865"/>
      <c r="B7" s="2872" t="s">
        <v>529</v>
      </c>
      <c r="C7" s="517">
        <f>'数据-取费表'!B2</f>
        <v>43665</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08" t="s">
        <v>530</v>
      </c>
      <c r="Q7" s="3410"/>
      <c r="R7" s="1552" t="s">
        <v>8</v>
      </c>
      <c r="S7" s="1553">
        <f t="shared" ref="S7:S14" si="0">F7</f>
        <v>0</v>
      </c>
      <c r="T7" s="1552" t="s">
        <v>8</v>
      </c>
      <c r="U7" s="1553">
        <f t="shared" ref="U7:U14" si="1">H7</f>
        <v>0</v>
      </c>
      <c r="V7" s="1552" t="s">
        <v>8</v>
      </c>
      <c r="W7" s="1553">
        <f t="shared" ref="W7:W14" si="2">J7</f>
        <v>0</v>
      </c>
      <c r="X7" s="1554"/>
      <c r="Y7" s="3408" t="s">
        <v>530</v>
      </c>
      <c r="Z7" s="3409"/>
      <c r="AA7" s="1555" t="e">
        <f>D7/F7</f>
        <v>#DIV/0!</v>
      </c>
      <c r="AB7" s="1555" t="e">
        <f>D7/H7</f>
        <v>#DIV/0!</v>
      </c>
      <c r="AC7" s="1555" t="e">
        <f>D7/J7</f>
        <v>#DIV/0!</v>
      </c>
    </row>
    <row r="8" spans="1:29" s="1213" customFormat="1" ht="15.75" thickBot="1">
      <c r="A8" s="2866"/>
      <c r="B8" s="2873" t="s">
        <v>531</v>
      </c>
      <c r="C8" s="523" t="s">
        <v>576</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08" t="s">
        <v>533</v>
      </c>
      <c r="Q8" s="3409"/>
      <c r="R8" s="1552" t="s">
        <v>8</v>
      </c>
      <c r="S8" s="1553">
        <f t="shared" si="0"/>
        <v>0</v>
      </c>
      <c r="T8" s="1552" t="s">
        <v>8</v>
      </c>
      <c r="U8" s="1553">
        <f t="shared" si="1"/>
        <v>0</v>
      </c>
      <c r="V8" s="1552" t="s">
        <v>8</v>
      </c>
      <c r="W8" s="1553">
        <f t="shared" si="2"/>
        <v>0</v>
      </c>
      <c r="X8" s="1554"/>
      <c r="Y8" s="3408" t="s">
        <v>533</v>
      </c>
      <c r="Z8" s="3409"/>
      <c r="AA8" s="1555" t="e">
        <f t="shared" ref="AA8:AA34" si="3">D8/F8</f>
        <v>#DIV/0!</v>
      </c>
      <c r="AB8" s="1555" t="e">
        <f t="shared" ref="AB8:AB34" si="4">D8/H8</f>
        <v>#DIV/0!</v>
      </c>
      <c r="AC8" s="1555" t="e">
        <f t="shared" ref="AC8:AC34" si="5">D8/J8</f>
        <v>#DIV/0!</v>
      </c>
    </row>
    <row r="9" spans="1:29" s="1213" customFormat="1" ht="15">
      <c r="A9" s="2867"/>
      <c r="B9" s="2874" t="s">
        <v>2754</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375" t="s">
        <v>535</v>
      </c>
      <c r="Q9" s="1144" t="str">
        <f t="shared" ref="Q9:Q14" si="6">B9</f>
        <v>用途</v>
      </c>
      <c r="R9" s="1552" t="s">
        <v>8</v>
      </c>
      <c r="S9" s="1553">
        <f t="shared" si="0"/>
        <v>100</v>
      </c>
      <c r="T9" s="1552" t="s">
        <v>8</v>
      </c>
      <c r="U9" s="1553">
        <f t="shared" si="1"/>
        <v>100</v>
      </c>
      <c r="V9" s="1552" t="s">
        <v>8</v>
      </c>
      <c r="W9" s="1553">
        <f t="shared" si="2"/>
        <v>100</v>
      </c>
      <c r="X9" s="1554"/>
      <c r="Y9" s="3321" t="s">
        <v>536</v>
      </c>
      <c r="Z9" s="1143" t="str">
        <f t="shared" ref="Z9:Z14" si="7">Q9</f>
        <v>用途</v>
      </c>
      <c r="AA9" s="1555">
        <f t="shared" si="3"/>
        <v>1</v>
      </c>
      <c r="AB9" s="1555">
        <f t="shared" si="4"/>
        <v>1</v>
      </c>
      <c r="AC9" s="1555">
        <f t="shared" si="5"/>
        <v>1</v>
      </c>
    </row>
    <row r="10" spans="1:29" s="1331" customFormat="1" ht="27">
      <c r="A10" s="2868"/>
      <c r="B10" s="2873" t="s">
        <v>2755</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375"/>
      <c r="Q10" s="1144" t="str">
        <f t="shared" si="6"/>
        <v>土地使用年限（年）</v>
      </c>
      <c r="R10" s="1552" t="s">
        <v>8</v>
      </c>
      <c r="S10" s="1553">
        <f t="shared" si="0"/>
        <v>100</v>
      </c>
      <c r="T10" s="1552" t="s">
        <v>8</v>
      </c>
      <c r="U10" s="1553">
        <f t="shared" si="1"/>
        <v>100</v>
      </c>
      <c r="V10" s="1552" t="s">
        <v>8</v>
      </c>
      <c r="W10" s="1553">
        <f t="shared" si="2"/>
        <v>100</v>
      </c>
      <c r="X10" s="1554"/>
      <c r="Y10" s="3321"/>
      <c r="Z10" s="1143" t="str">
        <f t="shared" si="7"/>
        <v>土地使用年限（年）</v>
      </c>
      <c r="AA10" s="1555">
        <f t="shared" si="3"/>
        <v>1</v>
      </c>
      <c r="AB10" s="1555">
        <f t="shared" si="4"/>
        <v>1</v>
      </c>
      <c r="AC10" s="1555">
        <f t="shared" si="5"/>
        <v>1</v>
      </c>
    </row>
    <row r="11" spans="1:29" ht="15">
      <c r="A11" s="2870"/>
      <c r="B11" s="2876">
        <v>111</v>
      </c>
      <c r="C11" s="526"/>
      <c r="D11" s="253">
        <v>100</v>
      </c>
      <c r="E11" s="877"/>
      <c r="F11" s="253">
        <f>SUMIF(55:55,E11,56:56)-SUMIF(55:55,C11,56:56)+100</f>
        <v>100</v>
      </c>
      <c r="G11" s="877"/>
      <c r="H11" s="253">
        <f>SUMIF(55:55,G11,56:56)-SUMIF(55:55,C11,56:56)+100</f>
        <v>100</v>
      </c>
      <c r="I11" s="877"/>
      <c r="J11" s="253">
        <f>SUMIF(55:55,I11,56:56)-SUMIF(55:55,C11,56:56)+100</f>
        <v>100</v>
      </c>
      <c r="K11" s="579"/>
      <c r="L11" s="2123"/>
      <c r="M11" s="2117"/>
      <c r="N11" s="2117"/>
      <c r="O11" s="2124"/>
      <c r="P11" s="3375"/>
      <c r="Q11" s="1144">
        <f t="shared" si="6"/>
        <v>111</v>
      </c>
      <c r="R11" s="1552" t="s">
        <v>8</v>
      </c>
      <c r="S11" s="1553">
        <f t="shared" si="0"/>
        <v>100</v>
      </c>
      <c r="T11" s="1552" t="s">
        <v>8</v>
      </c>
      <c r="U11" s="1553">
        <f t="shared" si="1"/>
        <v>100</v>
      </c>
      <c r="V11" s="1552" t="s">
        <v>8</v>
      </c>
      <c r="W11" s="1553">
        <f t="shared" si="2"/>
        <v>100</v>
      </c>
      <c r="X11" s="1554"/>
      <c r="Y11" s="3321"/>
      <c r="Z11" s="1143">
        <f t="shared" si="7"/>
        <v>111</v>
      </c>
      <c r="AA11" s="1555">
        <f t="shared" si="3"/>
        <v>1</v>
      </c>
      <c r="AB11" s="1555">
        <f t="shared" si="4"/>
        <v>1</v>
      </c>
      <c r="AC11" s="1555">
        <f t="shared" si="5"/>
        <v>1</v>
      </c>
    </row>
    <row r="12" spans="1:29" s="1213" customFormat="1" ht="15">
      <c r="A12" s="2870"/>
      <c r="B12" s="2876">
        <v>111</v>
      </c>
      <c r="C12" s="526"/>
      <c r="D12" s="536">
        <v>100</v>
      </c>
      <c r="E12" s="877"/>
      <c r="F12" s="253">
        <f>SUMIF(57:57,E12,58:58)-SUMIF(57:57,C12,58:58)+100</f>
        <v>100</v>
      </c>
      <c r="G12" s="877"/>
      <c r="H12" s="253">
        <f>SUMIF(57:57,G12,58:58)-SUMIF(57:57,C12,58:58)+100</f>
        <v>100</v>
      </c>
      <c r="I12" s="877"/>
      <c r="J12" s="253">
        <f>SUMIF(57:57,I12,58:58)-SUMIF(57:57,C12,58:58)+100</f>
        <v>100</v>
      </c>
      <c r="K12" s="579"/>
      <c r="L12" s="2118"/>
      <c r="M12" s="2119"/>
      <c r="N12" s="2119"/>
      <c r="O12" s="2120"/>
      <c r="P12" s="3375"/>
      <c r="Q12" s="1144">
        <f t="shared" si="6"/>
        <v>111</v>
      </c>
      <c r="R12" s="1552" t="s">
        <v>8</v>
      </c>
      <c r="S12" s="1553">
        <f t="shared" si="0"/>
        <v>100</v>
      </c>
      <c r="T12" s="1552" t="s">
        <v>8</v>
      </c>
      <c r="U12" s="1553">
        <f t="shared" si="1"/>
        <v>100</v>
      </c>
      <c r="V12" s="1552" t="s">
        <v>8</v>
      </c>
      <c r="W12" s="1553">
        <f t="shared" si="2"/>
        <v>100</v>
      </c>
      <c r="X12" s="1554"/>
      <c r="Y12" s="3321"/>
      <c r="Z12" s="1143">
        <f t="shared" si="7"/>
        <v>111</v>
      </c>
      <c r="AA12" s="1555">
        <f>D12/F12</f>
        <v>1</v>
      </c>
      <c r="AB12" s="1555">
        <f>D12/H12</f>
        <v>1</v>
      </c>
      <c r="AC12" s="1555">
        <f>D12/J12</f>
        <v>1</v>
      </c>
    </row>
    <row r="13" spans="1:29" ht="15.75" thickBot="1">
      <c r="A13" s="2871"/>
      <c r="B13" s="2877">
        <v>111</v>
      </c>
      <c r="C13" s="537"/>
      <c r="D13" s="538">
        <v>100</v>
      </c>
      <c r="E13" s="877"/>
      <c r="F13" s="253">
        <f>SUMIF(59:59,E13,60:60)-SUMIF(59:59,C13,60:60)+100</f>
        <v>100</v>
      </c>
      <c r="G13" s="877"/>
      <c r="H13" s="538">
        <f>SUMIF(59:59,G13,60:60)-SUMIF(59:59,C13,60:60)+100</f>
        <v>100</v>
      </c>
      <c r="I13" s="877"/>
      <c r="J13" s="538">
        <f>SUMIF(59:59,I13,60:60)-SUMIF(59:59,C13,60:60)+100</f>
        <v>100</v>
      </c>
      <c r="K13" s="579"/>
      <c r="L13" s="2125"/>
      <c r="M13" s="2117"/>
      <c r="N13" s="2117"/>
      <c r="O13" s="2124"/>
      <c r="P13" s="3375"/>
      <c r="Q13" s="1144">
        <f t="shared" si="6"/>
        <v>111</v>
      </c>
      <c r="R13" s="1552" t="s">
        <v>8</v>
      </c>
      <c r="S13" s="1553">
        <f t="shared" si="0"/>
        <v>100</v>
      </c>
      <c r="T13" s="1552" t="s">
        <v>8</v>
      </c>
      <c r="U13" s="1553">
        <f t="shared" si="1"/>
        <v>100</v>
      </c>
      <c r="V13" s="1552" t="s">
        <v>8</v>
      </c>
      <c r="W13" s="1553">
        <f t="shared" si="2"/>
        <v>100</v>
      </c>
      <c r="X13" s="1554"/>
      <c r="Y13" s="3321"/>
      <c r="Z13" s="1143">
        <f t="shared" si="7"/>
        <v>111</v>
      </c>
      <c r="AA13" s="1555">
        <f t="shared" si="3"/>
        <v>1</v>
      </c>
      <c r="AB13" s="1555">
        <f t="shared" si="4"/>
        <v>1</v>
      </c>
      <c r="AC13" s="1555">
        <f t="shared" si="5"/>
        <v>1</v>
      </c>
    </row>
    <row r="14" spans="1:29" ht="85.5">
      <c r="A14" s="2863" t="s">
        <v>2752</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5"/>
      <c r="M14" s="2117"/>
      <c r="N14" s="2117"/>
      <c r="O14" s="2124"/>
      <c r="P14" s="3411" t="s">
        <v>540</v>
      </c>
      <c r="Q14" s="1556" t="str">
        <f t="shared" si="6"/>
        <v>交通便捷度</v>
      </c>
      <c r="R14" s="1557" t="s">
        <v>8</v>
      </c>
      <c r="S14" s="1558">
        <f t="shared" si="0"/>
        <v>100</v>
      </c>
      <c r="T14" s="1557" t="s">
        <v>8</v>
      </c>
      <c r="U14" s="1558">
        <f t="shared" si="1"/>
        <v>100</v>
      </c>
      <c r="V14" s="1557" t="s">
        <v>8</v>
      </c>
      <c r="W14" s="1558">
        <f t="shared" si="2"/>
        <v>100</v>
      </c>
      <c r="X14" s="1551"/>
      <c r="Y14" s="3411" t="s">
        <v>540</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6"/>
      <c r="L15" s="2125"/>
      <c r="M15" s="2117"/>
      <c r="N15" s="2117"/>
      <c r="O15" s="2124"/>
      <c r="P15" s="3412"/>
      <c r="Q15" s="1556"/>
      <c r="R15" s="1557"/>
      <c r="S15" s="1558"/>
      <c r="T15" s="1557"/>
      <c r="U15" s="1558"/>
      <c r="V15" s="1557"/>
      <c r="W15" s="1558"/>
      <c r="X15" s="1551"/>
      <c r="Y15" s="3412"/>
      <c r="Z15" s="1559"/>
      <c r="AA15" s="1560">
        <v>1</v>
      </c>
      <c r="AB15" s="1560">
        <v>1</v>
      </c>
      <c r="AC15" s="1560">
        <v>1</v>
      </c>
    </row>
    <row r="16" spans="1:29" ht="42.75">
      <c r="A16" s="530"/>
      <c r="B16" s="2565" t="s">
        <v>2544</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5"/>
      <c r="M16" s="2117"/>
      <c r="N16" s="2117"/>
      <c r="O16" s="2124"/>
      <c r="P16" s="3412"/>
      <c r="Q16" s="1556" t="str">
        <f>B16</f>
        <v>公共配套设施</v>
      </c>
      <c r="R16" s="1557" t="s">
        <v>8</v>
      </c>
      <c r="S16" s="1558">
        <f>F16</f>
        <v>100</v>
      </c>
      <c r="T16" s="1557" t="s">
        <v>8</v>
      </c>
      <c r="U16" s="1558">
        <f>H16</f>
        <v>100</v>
      </c>
      <c r="V16" s="1557" t="s">
        <v>8</v>
      </c>
      <c r="W16" s="1558">
        <f>J16</f>
        <v>100</v>
      </c>
      <c r="X16" s="1551"/>
      <c r="Y16" s="3412"/>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6"/>
      <c r="L17" s="2125"/>
      <c r="M17" s="2117"/>
      <c r="N17" s="2117"/>
      <c r="O17" s="2124"/>
      <c r="P17" s="3412"/>
      <c r="Q17" s="1556"/>
      <c r="R17" s="1557"/>
      <c r="S17" s="1558"/>
      <c r="T17" s="1557"/>
      <c r="U17" s="1558"/>
      <c r="V17" s="1557"/>
      <c r="W17" s="1558"/>
      <c r="X17" s="1551"/>
      <c r="Y17" s="3412"/>
      <c r="Z17" s="1559"/>
      <c r="AA17" s="1560">
        <v>1</v>
      </c>
      <c r="AB17" s="1560">
        <v>1</v>
      </c>
      <c r="AC17" s="1560">
        <v>1</v>
      </c>
    </row>
    <row r="18" spans="1:29" ht="28.5">
      <c r="A18" s="530"/>
      <c r="B18" s="2553" t="s">
        <v>2556</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5"/>
      <c r="M18" s="2117"/>
      <c r="N18" s="2117"/>
      <c r="O18" s="2124"/>
      <c r="P18" s="3412"/>
      <c r="Q18" s="2541" t="str">
        <f>B18</f>
        <v>基础设施水平</v>
      </c>
      <c r="R18" s="1557" t="s">
        <v>8</v>
      </c>
      <c r="S18" s="1558">
        <f>F18</f>
        <v>100</v>
      </c>
      <c r="T18" s="1557" t="s">
        <v>8</v>
      </c>
      <c r="U18" s="1558">
        <f>H18</f>
        <v>100</v>
      </c>
      <c r="V18" s="1557" t="s">
        <v>8</v>
      </c>
      <c r="W18" s="1558">
        <f>J18</f>
        <v>100</v>
      </c>
      <c r="X18" s="2543"/>
      <c r="Y18" s="3412"/>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12"/>
      <c r="Q19" s="2541"/>
      <c r="R19" s="1557"/>
      <c r="S19" s="1558"/>
      <c r="T19" s="1557"/>
      <c r="U19" s="1558"/>
      <c r="V19" s="1557"/>
      <c r="W19" s="1558"/>
      <c r="X19" s="2543"/>
      <c r="Y19" s="3412"/>
      <c r="Z19" s="2542"/>
      <c r="AA19" s="1560">
        <v>1</v>
      </c>
      <c r="AB19" s="1560">
        <v>1</v>
      </c>
      <c r="AC19" s="1560">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5"/>
      <c r="M20" s="2117"/>
      <c r="N20" s="2117"/>
      <c r="O20" s="2124"/>
      <c r="P20" s="3412"/>
      <c r="Q20" s="1556" t="str">
        <f>B20</f>
        <v>自然及人文环境</v>
      </c>
      <c r="R20" s="1557" t="s">
        <v>8</v>
      </c>
      <c r="S20" s="1558">
        <f>F20</f>
        <v>100</v>
      </c>
      <c r="T20" s="1557" t="s">
        <v>8</v>
      </c>
      <c r="U20" s="1558">
        <f>H20</f>
        <v>100</v>
      </c>
      <c r="V20" s="1557" t="s">
        <v>8</v>
      </c>
      <c r="W20" s="1558">
        <f>J20</f>
        <v>100</v>
      </c>
      <c r="X20" s="1551"/>
      <c r="Y20" s="3412"/>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6"/>
      <c r="L21" s="2125"/>
      <c r="M21" s="2117"/>
      <c r="N21" s="2117"/>
      <c r="O21" s="2124"/>
      <c r="P21" s="3412"/>
      <c r="Q21" s="1556"/>
      <c r="R21" s="1557"/>
      <c r="S21" s="1558"/>
      <c r="T21" s="1557"/>
      <c r="U21" s="1558"/>
      <c r="V21" s="1557"/>
      <c r="W21" s="1558"/>
      <c r="X21" s="1551"/>
      <c r="Y21" s="3412"/>
      <c r="Z21" s="1559"/>
      <c r="AA21" s="1560">
        <v>1</v>
      </c>
      <c r="AB21" s="1560">
        <v>1</v>
      </c>
      <c r="AC21" s="1560">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12"/>
      <c r="Q22" s="1556" t="str">
        <f>B22</f>
        <v>楼层</v>
      </c>
      <c r="R22" s="1557" t="s">
        <v>8</v>
      </c>
      <c r="S22" s="1558">
        <f>F22</f>
        <v>100</v>
      </c>
      <c r="T22" s="1557" t="s">
        <v>8</v>
      </c>
      <c r="U22" s="1558">
        <f>H22</f>
        <v>100</v>
      </c>
      <c r="V22" s="1557" t="s">
        <v>8</v>
      </c>
      <c r="W22" s="1558">
        <f>J22</f>
        <v>100</v>
      </c>
      <c r="X22" s="1551"/>
      <c r="Y22" s="3412"/>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12"/>
      <c r="Q23" s="1556">
        <f>B23</f>
        <v>111</v>
      </c>
      <c r="R23" s="1557" t="s">
        <v>8</v>
      </c>
      <c r="S23" s="1558">
        <f>F23</f>
        <v>100</v>
      </c>
      <c r="T23" s="1557" t="s">
        <v>8</v>
      </c>
      <c r="U23" s="1558">
        <f>H23</f>
        <v>100</v>
      </c>
      <c r="V23" s="1557" t="s">
        <v>8</v>
      </c>
      <c r="W23" s="1558">
        <f>J23</f>
        <v>100</v>
      </c>
      <c r="X23" s="1551"/>
      <c r="Y23" s="3412"/>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12"/>
      <c r="Q24" s="1556">
        <f t="shared" ref="Q24:Q34" si="11">B24</f>
        <v>111</v>
      </c>
      <c r="R24" s="1557" t="s">
        <v>8</v>
      </c>
      <c r="S24" s="1558">
        <f>F24</f>
        <v>100</v>
      </c>
      <c r="T24" s="1557" t="s">
        <v>8</v>
      </c>
      <c r="U24" s="1558">
        <f>H24</f>
        <v>100</v>
      </c>
      <c r="V24" s="1557" t="s">
        <v>8</v>
      </c>
      <c r="W24" s="1558">
        <f>J24</f>
        <v>100</v>
      </c>
      <c r="X24" s="1551"/>
      <c r="Y24" s="3412"/>
      <c r="Z24" s="1559">
        <f>Q24</f>
        <v>111</v>
      </c>
      <c r="AA24" s="1560">
        <f t="shared" si="3"/>
        <v>1</v>
      </c>
      <c r="AB24" s="1560">
        <f t="shared" si="4"/>
        <v>1</v>
      </c>
      <c r="AC24" s="1560">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8"/>
      <c r="M25" s="2119"/>
      <c r="N25" s="2119"/>
      <c r="O25" s="2120"/>
      <c r="P25" s="3412"/>
      <c r="Q25" s="1144">
        <f t="shared" si="11"/>
        <v>111</v>
      </c>
      <c r="R25" s="1552" t="s">
        <v>8</v>
      </c>
      <c r="S25" s="1553">
        <f>F25</f>
        <v>100</v>
      </c>
      <c r="T25" s="1552" t="s">
        <v>8</v>
      </c>
      <c r="U25" s="1553">
        <f>H25</f>
        <v>100</v>
      </c>
      <c r="V25" s="1552" t="s">
        <v>8</v>
      </c>
      <c r="W25" s="1553">
        <f>J25</f>
        <v>100</v>
      </c>
      <c r="X25" s="1554"/>
      <c r="Y25" s="3412"/>
      <c r="Z25" s="1143">
        <f>Q25</f>
        <v>111</v>
      </c>
      <c r="AA25" s="1560">
        <f>D25/F25</f>
        <v>1</v>
      </c>
      <c r="AB25" s="1560">
        <f>D25/H25</f>
        <v>1</v>
      </c>
      <c r="AC25" s="1560">
        <f>D25/J25</f>
        <v>1</v>
      </c>
    </row>
    <row r="26" spans="1:29" ht="15">
      <c r="A26" s="2860" t="s">
        <v>2753</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5"/>
      <c r="M26" s="2117"/>
      <c r="N26" s="2117"/>
      <c r="O26" s="2124"/>
      <c r="P26" s="3413"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4" t="s">
        <v>821</v>
      </c>
      <c r="Z26" s="1559" t="str">
        <f t="shared" ref="Z26:Z34" si="15">Q26</f>
        <v>公共部分装修</v>
      </c>
      <c r="AA26" s="1560">
        <f t="shared" si="3"/>
        <v>1</v>
      </c>
      <c r="AB26" s="1560">
        <f t="shared" si="4"/>
        <v>1</v>
      </c>
      <c r="AC26" s="1560">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3"/>
      <c r="M27" s="2154"/>
      <c r="N27" s="2154"/>
      <c r="O27" s="2126"/>
      <c r="P27" s="3414"/>
      <c r="Q27" s="1588" t="str">
        <f t="shared" si="11"/>
        <v>成新率</v>
      </c>
      <c r="R27" s="1561" t="s">
        <v>8</v>
      </c>
      <c r="S27" s="1562" t="e">
        <f t="shared" si="12"/>
        <v>#N/A</v>
      </c>
      <c r="T27" s="1561" t="s">
        <v>8</v>
      </c>
      <c r="U27" s="1562" t="e">
        <f t="shared" si="13"/>
        <v>#N/A</v>
      </c>
      <c r="V27" s="1561" t="s">
        <v>8</v>
      </c>
      <c r="W27" s="1562" t="e">
        <f t="shared" si="14"/>
        <v>#N/A</v>
      </c>
      <c r="X27" s="1563"/>
      <c r="Y27" s="3414"/>
      <c r="Z27" s="1564" t="str">
        <f t="shared" si="15"/>
        <v>成新率</v>
      </c>
      <c r="AA27" s="1560" t="e">
        <f t="shared" si="3"/>
        <v>#N/A</v>
      </c>
      <c r="AB27" s="1560" t="e">
        <f t="shared" si="4"/>
        <v>#N/A</v>
      </c>
      <c r="AC27" s="1560"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14"/>
      <c r="Q28" s="1556" t="str">
        <f t="shared" si="11"/>
        <v>物业等级</v>
      </c>
      <c r="R28" s="1557" t="s">
        <v>8</v>
      </c>
      <c r="S28" s="1558">
        <f t="shared" si="12"/>
        <v>100</v>
      </c>
      <c r="T28" s="1557" t="s">
        <v>8</v>
      </c>
      <c r="U28" s="1558">
        <f t="shared" si="13"/>
        <v>100</v>
      </c>
      <c r="V28" s="1557" t="s">
        <v>8</v>
      </c>
      <c r="W28" s="1558">
        <f t="shared" si="14"/>
        <v>100</v>
      </c>
      <c r="X28" s="1551"/>
      <c r="Y28" s="3414"/>
      <c r="Z28" s="1559" t="str">
        <f t="shared" si="15"/>
        <v>物业等级</v>
      </c>
      <c r="AA28" s="1560">
        <f t="shared" si="3"/>
        <v>1</v>
      </c>
      <c r="AB28" s="1560">
        <f t="shared" si="4"/>
        <v>1</v>
      </c>
      <c r="AC28" s="1560">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5"/>
      <c r="M29" s="2117"/>
      <c r="N29" s="2117"/>
      <c r="O29" s="2124"/>
      <c r="P29" s="3414"/>
      <c r="Q29" s="1556" t="str">
        <f t="shared" si="11"/>
        <v>有无电梯</v>
      </c>
      <c r="R29" s="1557" t="s">
        <v>8</v>
      </c>
      <c r="S29" s="1558">
        <f t="shared" si="12"/>
        <v>100</v>
      </c>
      <c r="T29" s="1557" t="s">
        <v>8</v>
      </c>
      <c r="U29" s="1558">
        <f t="shared" si="13"/>
        <v>100</v>
      </c>
      <c r="V29" s="1557" t="s">
        <v>8</v>
      </c>
      <c r="W29" s="1558">
        <f t="shared" si="14"/>
        <v>100</v>
      </c>
      <c r="X29" s="1551"/>
      <c r="Y29" s="3414"/>
      <c r="Z29" s="1559" t="str">
        <f t="shared" si="15"/>
        <v>有无电梯</v>
      </c>
      <c r="AA29" s="1560">
        <f t="shared" si="3"/>
        <v>1</v>
      </c>
      <c r="AB29" s="1560">
        <f t="shared" si="4"/>
        <v>1</v>
      </c>
      <c r="AC29" s="1560">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5"/>
      <c r="M30" s="2117"/>
      <c r="N30" s="2117"/>
      <c r="O30" s="2124"/>
      <c r="P30" s="3414"/>
      <c r="Q30" s="1556" t="str">
        <f t="shared" si="11"/>
        <v>建筑面积</v>
      </c>
      <c r="R30" s="1557" t="s">
        <v>8</v>
      </c>
      <c r="S30" s="1558" t="e">
        <f t="shared" si="12"/>
        <v>#N/A</v>
      </c>
      <c r="T30" s="1557" t="s">
        <v>8</v>
      </c>
      <c r="U30" s="1558" t="e">
        <f t="shared" si="13"/>
        <v>#N/A</v>
      </c>
      <c r="V30" s="1557" t="s">
        <v>8</v>
      </c>
      <c r="W30" s="1558" t="e">
        <f t="shared" si="14"/>
        <v>#N/A</v>
      </c>
      <c r="X30" s="1551"/>
      <c r="Y30" s="3414"/>
      <c r="Z30" s="1559" t="str">
        <f t="shared" si="15"/>
        <v>建筑面积</v>
      </c>
      <c r="AA30" s="1560" t="e">
        <f t="shared" si="3"/>
        <v>#N/A</v>
      </c>
      <c r="AB30" s="1560" t="e">
        <f t="shared" si="4"/>
        <v>#N/A</v>
      </c>
      <c r="AC30" s="1560"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8"/>
      <c r="M31" s="2119"/>
      <c r="N31" s="2119"/>
      <c r="O31" s="2120"/>
      <c r="P31" s="3414"/>
      <c r="Q31" s="1144" t="str">
        <f t="shared" si="11"/>
        <v>是否封闭</v>
      </c>
      <c r="R31" s="1552" t="s">
        <v>8</v>
      </c>
      <c r="S31" s="1553">
        <f t="shared" si="12"/>
        <v>100</v>
      </c>
      <c r="T31" s="1552" t="s">
        <v>8</v>
      </c>
      <c r="U31" s="1553">
        <f t="shared" si="13"/>
        <v>100</v>
      </c>
      <c r="V31" s="1552" t="s">
        <v>8</v>
      </c>
      <c r="W31" s="1553">
        <f t="shared" si="14"/>
        <v>100</v>
      </c>
      <c r="X31" s="1554"/>
      <c r="Y31" s="3414"/>
      <c r="Z31" s="1143" t="str">
        <f t="shared" si="15"/>
        <v>是否封闭</v>
      </c>
      <c r="AA31" s="1555">
        <f t="shared" si="3"/>
        <v>1</v>
      </c>
      <c r="AB31" s="1555">
        <f t="shared" si="4"/>
        <v>1</v>
      </c>
      <c r="AC31" s="1555">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5"/>
      <c r="M32" s="2117"/>
      <c r="N32" s="2117"/>
      <c r="O32" s="2124"/>
      <c r="P32" s="3414" t="s">
        <v>550</v>
      </c>
      <c r="Q32" s="1556">
        <f t="shared" si="11"/>
        <v>111</v>
      </c>
      <c r="R32" s="1557" t="s">
        <v>8</v>
      </c>
      <c r="S32" s="1558">
        <f t="shared" si="12"/>
        <v>100</v>
      </c>
      <c r="T32" s="1557" t="s">
        <v>8</v>
      </c>
      <c r="U32" s="1558">
        <f t="shared" si="13"/>
        <v>100</v>
      </c>
      <c r="V32" s="1557" t="s">
        <v>8</v>
      </c>
      <c r="W32" s="1558">
        <f t="shared" si="14"/>
        <v>100</v>
      </c>
      <c r="X32" s="1551"/>
      <c r="Y32" s="3414" t="s">
        <v>550</v>
      </c>
      <c r="Z32" s="1559">
        <f t="shared" si="15"/>
        <v>111</v>
      </c>
      <c r="AA32" s="1560">
        <f t="shared" si="3"/>
        <v>1</v>
      </c>
      <c r="AB32" s="1560">
        <f t="shared" si="4"/>
        <v>1</v>
      </c>
      <c r="AC32" s="1560">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5"/>
      <c r="M33" s="2117"/>
      <c r="N33" s="2117"/>
      <c r="O33" s="2124"/>
      <c r="P33" s="3414"/>
      <c r="Q33" s="1556">
        <f t="shared" si="11"/>
        <v>111</v>
      </c>
      <c r="R33" s="1557" t="s">
        <v>8</v>
      </c>
      <c r="S33" s="1558">
        <f t="shared" si="12"/>
        <v>100</v>
      </c>
      <c r="T33" s="1557" t="s">
        <v>8</v>
      </c>
      <c r="U33" s="1558">
        <f t="shared" si="13"/>
        <v>100</v>
      </c>
      <c r="V33" s="1557" t="s">
        <v>8</v>
      </c>
      <c r="W33" s="1558">
        <f t="shared" si="14"/>
        <v>100</v>
      </c>
      <c r="X33" s="1551"/>
      <c r="Y33" s="3414"/>
      <c r="Z33" s="1559">
        <f t="shared" si="15"/>
        <v>111</v>
      </c>
      <c r="AA33" s="1560">
        <f t="shared" si="3"/>
        <v>1</v>
      </c>
      <c r="AB33" s="1560">
        <f t="shared" si="4"/>
        <v>1</v>
      </c>
      <c r="AC33" s="1560">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5"/>
      <c r="M34" s="2117"/>
      <c r="N34" s="2117"/>
      <c r="O34" s="2124"/>
      <c r="P34" s="3414"/>
      <c r="Q34" s="1556">
        <f t="shared" si="11"/>
        <v>111</v>
      </c>
      <c r="R34" s="1557" t="s">
        <v>8</v>
      </c>
      <c r="S34" s="1558">
        <f t="shared" si="12"/>
        <v>100</v>
      </c>
      <c r="T34" s="1557" t="s">
        <v>8</v>
      </c>
      <c r="U34" s="1558">
        <f t="shared" si="13"/>
        <v>100</v>
      </c>
      <c r="V34" s="1557" t="s">
        <v>8</v>
      </c>
      <c r="W34" s="1558">
        <f t="shared" si="14"/>
        <v>100</v>
      </c>
      <c r="X34" s="1551"/>
      <c r="Y34" s="3414"/>
      <c r="Z34" s="1559">
        <f t="shared" si="15"/>
        <v>111</v>
      </c>
      <c r="AA34" s="1560">
        <f t="shared" si="3"/>
        <v>1</v>
      </c>
      <c r="AB34" s="1560">
        <f t="shared" si="4"/>
        <v>1</v>
      </c>
      <c r="AC34" s="1560">
        <f t="shared" si="5"/>
        <v>1</v>
      </c>
    </row>
    <row r="35" spans="1:29" ht="15">
      <c r="A35" s="605" t="s">
        <v>736</v>
      </c>
      <c r="B35" s="884"/>
      <c r="C35" s="2589" t="s">
        <v>1</v>
      </c>
      <c r="D35" s="2590"/>
      <c r="E35" s="2591"/>
      <c r="F35" s="2592"/>
      <c r="G35" s="2593"/>
      <c r="H35" s="2594"/>
      <c r="I35" s="2591"/>
      <c r="J35" s="2594"/>
      <c r="K35" s="1594"/>
      <c r="L35" s="2127"/>
      <c r="M35" s="2128"/>
      <c r="N35" s="2117"/>
      <c r="O35" s="2128"/>
      <c r="P35" s="3375" t="str">
        <f>A35</f>
        <v>成交单价（元/平方米）</v>
      </c>
      <c r="Q35" s="3375"/>
      <c r="R35" s="3471">
        <f>E35</f>
        <v>0</v>
      </c>
      <c r="S35" s="3471"/>
      <c r="T35" s="3471">
        <f>G35</f>
        <v>0</v>
      </c>
      <c r="U35" s="3471"/>
      <c r="V35" s="3471">
        <f>I35</f>
        <v>0</v>
      </c>
      <c r="W35" s="3471"/>
      <c r="X35" s="1543"/>
      <c r="Y35" s="1565"/>
      <c r="Z35" s="1543"/>
      <c r="AA35" s="1543"/>
      <c r="AB35" s="1543"/>
      <c r="AC35" s="1543"/>
    </row>
    <row r="36" spans="1:29" ht="15.75" thickBot="1">
      <c r="A36" s="613" t="s">
        <v>2758</v>
      </c>
      <c r="B36" s="885"/>
      <c r="C36" s="2595" t="e">
        <f>R37</f>
        <v>#DIV/0!</v>
      </c>
      <c r="D36" s="2596"/>
      <c r="E36" s="2597" t="e">
        <f>R36</f>
        <v>#DIV/0!</v>
      </c>
      <c r="F36" s="2597"/>
      <c r="G36" s="2595" t="e">
        <f>T36</f>
        <v>#DIV/0!</v>
      </c>
      <c r="H36" s="2596"/>
      <c r="I36" s="2597" t="e">
        <f>V36</f>
        <v>#DIV/0!</v>
      </c>
      <c r="J36" s="2596"/>
      <c r="K36" s="1595"/>
      <c r="L36" s="2127"/>
      <c r="M36" s="2128"/>
      <c r="N36" s="2117"/>
      <c r="O36" s="2128"/>
      <c r="P36" s="3375" t="str">
        <f>A36</f>
        <v>比较价格（元/平方米）</v>
      </c>
      <c r="Q36" s="3375"/>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3"/>
      <c r="Y36" s="1543"/>
      <c r="Z36" s="1543"/>
      <c r="AA36" s="1543"/>
      <c r="AB36" s="1543"/>
      <c r="AC36" s="1543"/>
    </row>
    <row r="37" spans="1:29" ht="15.75" thickBot="1">
      <c r="A37" s="619" t="s">
        <v>2933</v>
      </c>
      <c r="B37" s="620"/>
      <c r="C37" s="2598" t="e">
        <f>R37</f>
        <v>#DIV/0!</v>
      </c>
      <c r="D37" s="2598"/>
      <c r="E37" s="2598"/>
      <c r="F37" s="2598"/>
      <c r="G37" s="2598"/>
      <c r="H37" s="2598"/>
      <c r="I37" s="2598"/>
      <c r="J37" s="2598"/>
      <c r="K37" s="1596"/>
      <c r="L37" s="2127"/>
      <c r="M37" s="2128"/>
      <c r="N37" s="2128"/>
      <c r="O37" s="2128"/>
      <c r="P37" s="3372" t="str">
        <f>A37</f>
        <v>估价对象XX用房的比较价格（楼面单价，元/平方米）</v>
      </c>
      <c r="Q37" s="3373"/>
      <c r="R37" s="3470" t="e">
        <f>IF(F1="售价",ROUND(AVERAGE(R36:V36),0),ROUND(AVERAGE(R36:V36),1))</f>
        <v>#DIV/0!</v>
      </c>
      <c r="S37" s="3470"/>
      <c r="T37" s="3470"/>
      <c r="U37" s="3470"/>
      <c r="V37" s="3470"/>
      <c r="W37" s="347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3" t="s">
        <v>529</v>
      </c>
      <c r="B46" s="644"/>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3"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3"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3"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2">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2555</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2556</v>
      </c>
      <c r="C65" s="2560" t="s">
        <v>2557</v>
      </c>
      <c r="D65" s="2560" t="s">
        <v>2558</v>
      </c>
      <c r="E65" s="2560" t="s">
        <v>2559</v>
      </c>
      <c r="F65" s="2560" t="s">
        <v>2560</v>
      </c>
      <c r="G65" s="2560" t="s">
        <v>2561</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744</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745</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7"/>
      <c r="B71" s="671">
        <f>B23</f>
        <v>111</v>
      </c>
      <c r="C71" s="539"/>
      <c r="D71" s="539"/>
      <c r="E71" s="539"/>
      <c r="F71" s="539"/>
      <c r="G71" s="686"/>
      <c r="H71" s="686"/>
      <c r="I71" s="686"/>
      <c r="J71" s="686"/>
      <c r="K71" s="686"/>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7"/>
      <c r="B73" s="671">
        <f>B24</f>
        <v>111</v>
      </c>
      <c r="C73" s="539"/>
      <c r="D73" s="539"/>
      <c r="E73" s="539"/>
      <c r="F73" s="539"/>
      <c r="G73" s="686"/>
      <c r="H73" s="686"/>
      <c r="I73" s="686"/>
      <c r="J73" s="686"/>
      <c r="K73" s="686"/>
      <c r="L73" s="686"/>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751</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817</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825</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2" customFormat="1" ht="15" thickTop="1">
      <c r="A89" s="726"/>
      <c r="B89" s="671" t="s">
        <v>827</v>
      </c>
      <c r="C89" s="686"/>
      <c r="D89" s="686"/>
      <c r="E89" s="686"/>
      <c r="F89" s="686"/>
      <c r="G89" s="686"/>
      <c r="H89" s="686"/>
      <c r="I89" s="686"/>
      <c r="J89" s="686"/>
      <c r="K89" s="686"/>
      <c r="L89" s="686"/>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4">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5"/>
    <col min="36" max="16384" width="9" style="1243"/>
  </cols>
  <sheetData>
    <row r="1" spans="1:45" s="255" customFormat="1" ht="14.25" customHeight="1" thickBot="1">
      <c r="A1" s="363"/>
      <c r="B1" s="2217" t="s">
        <v>2302</v>
      </c>
      <c r="C1" s="3506" t="s">
        <v>2303</v>
      </c>
      <c r="D1" s="3507"/>
      <c r="E1" s="3507"/>
      <c r="F1" s="3507"/>
      <c r="G1" s="3507"/>
      <c r="H1" s="3507"/>
      <c r="I1" s="3507"/>
      <c r="J1" s="3507"/>
      <c r="K1" s="3507"/>
      <c r="L1" s="3507"/>
      <c r="M1" s="3507"/>
      <c r="N1" s="3507"/>
      <c r="O1" s="3507"/>
      <c r="P1" s="3507"/>
      <c r="Q1" s="3507"/>
      <c r="R1" s="3507"/>
      <c r="S1" s="3508"/>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9" t="s">
        <v>2926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1" t="s">
        <v>2925</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1" t="s">
        <v>2924</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9" t="s">
        <v>2937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9" t="s">
        <v>2923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9" t="s">
        <v>2922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830</v>
      </c>
      <c r="B22" s="53">
        <f>SUM(B24:B10000)</f>
        <v>0</v>
      </c>
      <c r="C22" s="3503" t="s">
        <v>20</v>
      </c>
      <c r="D22" s="3504"/>
      <c r="E22" s="3504"/>
      <c r="F22" s="3504"/>
      <c r="G22" s="3504"/>
      <c r="H22" s="3504"/>
      <c r="I22" s="3504"/>
      <c r="J22" s="3504"/>
      <c r="K22" s="3504"/>
      <c r="L22" s="3504"/>
      <c r="M22" s="3504"/>
      <c r="N22" s="3504"/>
      <c r="O22" s="3504"/>
      <c r="P22" s="3504"/>
      <c r="Q22" s="3505"/>
      <c r="R22" s="488"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43665</v>
      </c>
      <c r="H1" s="2891">
        <f>IF(C1&gt;C13,0,MATCH(C1,C$13:C$100,-1))+IF(SUMIF(C13:C100,C1,D13:D100)=0,13,12)</f>
        <v>13</v>
      </c>
      <c r="I1" s="2891">
        <f>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3.5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2037</v>
      </c>
      <c r="B1" s="3208"/>
      <c r="C1" s="3208"/>
      <c r="D1" s="3208"/>
      <c r="E1" s="3208"/>
      <c r="F1" s="3208"/>
      <c r="G1" s="3208"/>
      <c r="H1" s="3208"/>
      <c r="I1" s="3208"/>
      <c r="J1" s="3208"/>
      <c r="K1" s="3208"/>
      <c r="L1" s="3208"/>
      <c r="M1" s="3208"/>
      <c r="N1" s="3208"/>
      <c r="O1" s="3208"/>
      <c r="P1" s="3208"/>
      <c r="Q1" s="3208"/>
      <c r="R1" s="3208"/>
    </row>
    <row r="2" spans="1:18">
      <c r="A2" s="1790" t="s">
        <v>2039</v>
      </c>
      <c r="B2" s="1790"/>
      <c r="C2" s="1790"/>
      <c r="D2" s="1790"/>
      <c r="E2" s="1790"/>
      <c r="F2" s="1790"/>
      <c r="G2" s="1790"/>
      <c r="H2" s="1790"/>
      <c r="I2" s="1791"/>
      <c r="J2" s="1791"/>
      <c r="K2" s="1792" t="str">
        <f>"估价期日："&amp;TEXT(项目基本情况!D3,"yyyy年m月d日;;")</f>
        <v>估价期日：2019年7月19日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9" t="s">
        <v>2028</v>
      </c>
      <c r="B3" s="3209" t="s">
        <v>2729</v>
      </c>
      <c r="C3" s="3210" t="s">
        <v>2029</v>
      </c>
      <c r="D3" s="3209" t="s">
        <v>2733</v>
      </c>
      <c r="E3" s="3212" t="s">
        <v>2030</v>
      </c>
      <c r="F3" s="3212"/>
      <c r="G3" s="3212"/>
      <c r="H3" s="3212" t="s">
        <v>2031</v>
      </c>
      <c r="I3" s="3212"/>
      <c r="J3" s="3212"/>
      <c r="K3" s="3210" t="s">
        <v>2032</v>
      </c>
      <c r="L3" s="3210" t="s">
        <v>2033</v>
      </c>
      <c r="M3" s="3209" t="s">
        <v>2730</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11" t="s">
        <v>2041</v>
      </c>
      <c r="F4" s="2611" t="s">
        <v>2742</v>
      </c>
      <c r="G4" s="2611" t="s">
        <v>2035</v>
      </c>
      <c r="H4" s="2611" t="s">
        <v>2036</v>
      </c>
      <c r="I4" s="2611" t="s">
        <v>2743</v>
      </c>
      <c r="J4" s="2611" t="s">
        <v>2035</v>
      </c>
      <c r="K4" s="3210"/>
      <c r="L4" s="3210"/>
      <c r="M4" s="3209"/>
      <c r="N4" s="3211"/>
      <c r="O4" s="3209"/>
      <c r="P4" s="3210"/>
      <c r="Q4" s="3210"/>
      <c r="R4" s="3210"/>
    </row>
    <row r="5" spans="1:18" ht="135" customHeight="1">
      <c r="A5" s="1926" t="s">
        <v>2653</v>
      </c>
      <c r="B5" s="2820" t="s">
        <v>2651</v>
      </c>
      <c r="C5" s="2610">
        <v>22</v>
      </c>
      <c r="D5" s="2609" t="s">
        <v>2652</v>
      </c>
      <c r="E5" s="1793" t="str">
        <f>项目基本情况!B12</f>
        <v>商住</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320191.09999999998</v>
      </c>
      <c r="O5" s="1793">
        <f>项目基本情况!C21</f>
        <v>704420.41999999993</v>
      </c>
      <c r="P5" s="1793">
        <f ca="1">结果表!E42</f>
        <v>2220</v>
      </c>
      <c r="Q5" s="1793">
        <f ca="1">结果表!D42</f>
        <v>1009</v>
      </c>
      <c r="R5" s="1794">
        <f ca="1">结果表!C42</f>
        <v>71098</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5">
        <f ca="1">结果表!O39</f>
        <v>71098</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5"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7" t="s">
        <v>2064</v>
      </c>
      <c r="B1" s="3217"/>
      <c r="C1" s="3217"/>
      <c r="D1" s="3217"/>
    </row>
    <row r="2" spans="1:4" ht="47.25" customHeight="1">
      <c r="A2" s="3218" t="str">
        <f>"1.权利限制："&amp;项目基本情况!L24&amp;"未设定租赁等其他他项权利。"</f>
        <v>1.权利限制：根据估价对象《不动产权证书》、《国有土地使用权》原件，截至估价期日，估价对象抵押权未见登记。未设定租赁等其他他项权利。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v>
      </c>
      <c r="B4" s="3217"/>
      <c r="C4" s="3217"/>
      <c r="D4" s="3217"/>
    </row>
    <row r="5" spans="1:4">
      <c r="A5" s="3216" t="s">
        <v>2065</v>
      </c>
      <c r="B5" s="3216"/>
      <c r="C5" s="3216"/>
      <c r="D5" s="3216"/>
    </row>
    <row r="6" spans="1:4">
      <c r="A6" s="3217" t="s">
        <v>2043</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（1）根据估价对象《不动产权证书》、《国有土地使用权》原件，截至估价期日，估价对象抵押权未见登记。</v>
      </c>
      <c r="B11" s="3219"/>
      <c r="C11" s="3219"/>
      <c r="D11" s="3219"/>
    </row>
    <row r="12" spans="1:4" ht="168" customHeight="1">
      <c r="A12" s="3216" t="s">
        <v>2067</v>
      </c>
      <c r="B12" s="3216"/>
      <c r="C12" s="3216"/>
      <c r="D12" s="3216"/>
    </row>
    <row r="13" spans="1:4">
      <c r="A13" s="3220" t="s">
        <v>2744</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2700</v>
      </c>
      <c r="B17" s="3217"/>
      <c r="C17" s="3217"/>
      <c r="D17" s="3217"/>
    </row>
    <row r="18" spans="1:4">
      <c r="A18" s="3217" t="s">
        <v>2692</v>
      </c>
      <c r="B18" s="3217"/>
      <c r="C18" s="3217"/>
      <c r="D18" s="3217"/>
    </row>
    <row r="19" spans="1:4">
      <c r="A19" s="2821" t="s">
        <v>2693</v>
      </c>
      <c r="B19" s="2821" t="s">
        <v>2694</v>
      </c>
      <c r="C19" s="2821" t="s">
        <v>2695</v>
      </c>
      <c r="D19" s="2821" t="s">
        <v>2696</v>
      </c>
    </row>
    <row r="20" spans="1:4">
      <c r="A20" s="2821" t="str">
        <f>项目基本情况!B4</f>
        <v>王鹏</v>
      </c>
      <c r="B20" s="2821">
        <f ca="1">项目基本情况!C4</f>
        <v>2002110030</v>
      </c>
      <c r="C20" s="2823"/>
      <c r="D20" s="1783" t="s">
        <v>2701</v>
      </c>
    </row>
    <row r="21" spans="1:4">
      <c r="A21" s="2821" t="str">
        <f>项目基本情况!D4</f>
        <v>郑燚</v>
      </c>
      <c r="B21" s="2821">
        <f ca="1">项目基本情况!E4</f>
        <v>2014110011</v>
      </c>
      <c r="C21" s="2823"/>
      <c r="D21" s="1783" t="s">
        <v>2702</v>
      </c>
    </row>
    <row r="23" spans="1:4">
      <c r="A23" s="3217" t="s">
        <v>2697</v>
      </c>
      <c r="B23" s="3217"/>
      <c r="C23" s="3217"/>
      <c r="D23" s="3217"/>
    </row>
    <row r="24" spans="1:4">
      <c r="A24" s="2821" t="s">
        <v>2693</v>
      </c>
      <c r="B24" s="2821" t="s">
        <v>2698</v>
      </c>
      <c r="C24" s="2821" t="s">
        <v>2695</v>
      </c>
      <c r="D24" s="2821" t="s">
        <v>2696</v>
      </c>
    </row>
    <row r="25" spans="1:4">
      <c r="A25" s="2824" t="s">
        <v>2699</v>
      </c>
      <c r="B25" s="2821" t="s">
        <v>952</v>
      </c>
      <c r="C25" s="2823"/>
      <c r="D25" s="1783" t="s">
        <v>2702</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28" t="s">
        <v>53</v>
      </c>
      <c r="B15" s="3229" t="s">
        <v>846</v>
      </c>
      <c r="C15" s="3225"/>
    </row>
    <row r="16" spans="1:7" ht="14.25">
      <c r="A16" s="3228"/>
      <c r="B16" s="3226" t="s">
        <v>54</v>
      </c>
      <c r="C16" s="1165" t="s">
        <v>53</v>
      </c>
    </row>
    <row r="17" spans="1:3" ht="14.25">
      <c r="A17" s="3228"/>
      <c r="B17" s="3226"/>
      <c r="C17" s="1165" t="s">
        <v>55</v>
      </c>
    </row>
    <row r="18" spans="1:3" ht="14.25">
      <c r="A18" s="3228"/>
      <c r="B18" s="3226"/>
      <c r="C18" s="1165" t="s">
        <v>56</v>
      </c>
    </row>
    <row r="19" spans="1:3" ht="14.25">
      <c r="A19" s="3228"/>
      <c r="B19" s="3224" t="s">
        <v>57</v>
      </c>
      <c r="C19" s="3225"/>
    </row>
    <row r="20" spans="1:3" ht="14.25">
      <c r="A20" s="1166" t="s">
        <v>58</v>
      </c>
      <c r="B20" s="1167"/>
      <c r="C20" s="1168"/>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69" t="s">
        <v>837</v>
      </c>
    </row>
    <row r="25" spans="1:3" ht="14.25">
      <c r="A25" s="3227"/>
      <c r="B25" s="3231"/>
      <c r="C25" s="1169" t="s">
        <v>838</v>
      </c>
    </row>
    <row r="26" spans="1:3" ht="14.25">
      <c r="A26" s="3227"/>
      <c r="B26" s="3231"/>
      <c r="C26" s="1169" t="s">
        <v>839</v>
      </c>
    </row>
    <row r="27" spans="1:3" ht="14.25">
      <c r="A27" s="3227"/>
      <c r="B27" s="3231"/>
      <c r="C27" s="1169" t="s">
        <v>840</v>
      </c>
    </row>
    <row r="28" spans="1:3" ht="14.25">
      <c r="A28" s="3227"/>
      <c r="B28" s="3231"/>
      <c r="C28" s="1169" t="s">
        <v>841</v>
      </c>
    </row>
    <row r="29" spans="1:3" ht="14.25">
      <c r="A29" s="3227"/>
      <c r="B29" s="3231"/>
      <c r="C29" s="1169" t="s">
        <v>842</v>
      </c>
    </row>
    <row r="30" spans="1:3" ht="14.25">
      <c r="A30" s="3227"/>
      <c r="B30" s="3231"/>
      <c r="C30" s="1169" t="s">
        <v>843</v>
      </c>
    </row>
    <row r="31" spans="1:3" ht="14.25">
      <c r="A31" s="3227"/>
      <c r="B31" s="3231"/>
      <c r="C31" s="1169" t="s">
        <v>844</v>
      </c>
    </row>
    <row r="32" spans="1:3" ht="14.25">
      <c r="A32" s="3227"/>
      <c r="B32" s="3231"/>
      <c r="C32" s="1169" t="s">
        <v>1646</v>
      </c>
    </row>
    <row r="33" spans="1:3" ht="14.25">
      <c r="A33" s="3227"/>
      <c r="B33" s="3221" t="s">
        <v>1652</v>
      </c>
      <c r="C33" s="1169" t="s">
        <v>1647</v>
      </c>
    </row>
    <row r="34" spans="1:3" ht="14.25">
      <c r="A34" s="3227"/>
      <c r="B34" s="3222"/>
      <c r="C34" s="1174" t="s">
        <v>1648</v>
      </c>
    </row>
    <row r="35" spans="1:3" ht="14.25">
      <c r="A35" s="3227"/>
      <c r="B35" s="3222"/>
      <c r="C35" s="1175" t="s">
        <v>1649</v>
      </c>
    </row>
    <row r="36" spans="1:3" ht="14.25">
      <c r="A36" s="3227"/>
      <c r="B36" s="3222"/>
      <c r="C36" s="1175" t="s">
        <v>1650</v>
      </c>
    </row>
    <row r="37" spans="1:3" ht="14.25">
      <c r="A37" s="3227"/>
      <c r="B37" s="3223"/>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43679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2572</v>
      </c>
      <c r="B15" s="3130">
        <f ca="1">IF(C15&lt;B2,"已过期",1120070085)</f>
        <v>1120070085</v>
      </c>
      <c r="C15" s="3134">
        <v>43814</v>
      </c>
      <c r="D15" s="3130" t="s">
        <v>2980</v>
      </c>
      <c r="E15" s="3130">
        <f ca="1">IF(F15&lt;B2,"已过期",2004110128)</f>
        <v>2004110128</v>
      </c>
      <c r="F15" s="3136">
        <v>47118</v>
      </c>
    </row>
    <row r="16" spans="1:6" ht="20.25" customHeight="1">
      <c r="A16" s="3130" t="s">
        <v>1923</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32" t="s">
        <v>1926</v>
      </c>
      <c r="B25" s="3232"/>
      <c r="C25" s="3232"/>
      <c r="D25" s="3232"/>
      <c r="E25" s="3232"/>
      <c r="F25" s="3232"/>
      <c r="G25" s="3232"/>
    </row>
    <row r="26" spans="1:7" ht="20.25" customHeight="1">
      <c r="A26" s="3233" t="s">
        <v>1927</v>
      </c>
      <c r="B26" s="3233"/>
      <c r="C26" s="3233"/>
      <c r="D26" s="3233" t="s">
        <v>1928</v>
      </c>
      <c r="E26" s="3233"/>
      <c r="F26" s="3233"/>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2" t="s">
        <v>2952</v>
      </c>
      <c r="C18" s="1538"/>
    </row>
    <row r="19" spans="1:3">
      <c r="A19" s="8" t="s">
        <v>120</v>
      </c>
      <c r="B19" s="3062" t="s">
        <v>2960</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青州市宏源公有资产经营有限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州市宏源公有资产经营有限公司拟使用山东省潍坊市青州市胶王路北侧一宗商业、住宅用地出让国有建设用地使用权作为抵押担保物，向青州市宏源公有资产经营有限公司办理贷款手续。青州市宏源公有资产经营有限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34"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c r="D53" s="1750"/>
      <c r="E53" s="1750"/>
    </row>
    <row r="54" spans="1:5">
      <c r="A54" s="3234"/>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4"/>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4"/>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4"/>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Sheet1</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2019-08-02T06:32:36Z</dcterms:modified>
</cp:coreProperties>
</file>