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军队\北蜂窝\"/>
    </mc:Choice>
  </mc:AlternateContent>
  <xr:revisionPtr revIDLastSave="0" documentId="13_ncr:1_{C568E950-0477-45BB-AE91-CF0E486CAAED}" xr6:coauthVersionLast="45" xr6:coauthVersionMax="45" xr10:uidLastSave="{00000000-0000-0000-0000-000000000000}"/>
  <bookViews>
    <workbookView xWindow="-120" yWindow="-120" windowWidth="21840" windowHeight="13140" tabRatio="899" firstSheet="12"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案例" sheetId="80" r:id="rId26"/>
    <sheet name="比较法-楼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平房" sheetId="82"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'比较法-楼房'!$A$1:$L$49</definedName>
    <definedName name="_xlnm._FilterDatabase" localSheetId="34" hidden="1">'比较法-平房'!$A$1:$L$49</definedName>
    <definedName name="_xlnm._FilterDatabase" localSheetId="27" hidden="1">'比较法-商业'!$A$1:$L$49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'比较法-楼房'!$A$1:$K$54,'比较法-楼房'!$A$57:$M$131</definedName>
    <definedName name="_xlnm.Print_Area" localSheetId="34">'比较法-平房'!$A$1:$K$54,'比较法-平房'!$A$57:$M$131</definedName>
    <definedName name="_xlnm.Print_Area" localSheetId="27">'比较法-商业'!$A$1:$K$54,'比较法-商业'!$A$57:$M$131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4">'比较法-平房'!$B$88:$M$88</definedName>
    <definedName name="住宅朝向">'比较法-楼房'!$B$88:$M$88</definedName>
    <definedName name="住宅房型" localSheetId="34">'比较法-平房'!$B$118:$M$118</definedName>
    <definedName name="住宅房型">'比较法-楼房'!$B$118:$M$118</definedName>
    <definedName name="住宅公共部分装修" localSheetId="34">'比较法-平房'!$B$109:$M$109</definedName>
    <definedName name="住宅公共部分装修">'比较法-楼房'!$B$109:$M$109</definedName>
    <definedName name="住宅基础设施水平" localSheetId="34">'比较法-平房'!$B$116:$M$116</definedName>
    <definedName name="住宅基础设施水平">'比较法-楼房'!$B$116:$M$116</definedName>
    <definedName name="住宅建筑结构" localSheetId="34">'比较法-平房'!$B$105:$M$105</definedName>
    <definedName name="住宅建筑结构">'比较法-楼房'!$B$105:$M$105</definedName>
    <definedName name="住宅建筑类型" localSheetId="34">'比较法-平房'!$B$100:$M$100</definedName>
    <definedName name="住宅建筑类型">'比较法-楼房'!$B$100:$M$100</definedName>
    <definedName name="住宅建筑品质" localSheetId="34">'比较法-平房'!$B$107:$M$107</definedName>
    <definedName name="住宅建筑品质">'比较法-楼房'!$B$107:$M$107</definedName>
    <definedName name="住宅交易情况" localSheetId="34">'比较法-平房'!$A$61:$M$61</definedName>
    <definedName name="住宅交易情况">'比较法-楼房'!$A$61:$M$61</definedName>
    <definedName name="住宅楼层" localSheetId="34">'比较法-平房'!$B$86:$M$86</definedName>
    <definedName name="住宅楼层">'比较法-楼房'!$B$86:$M$86</definedName>
    <definedName name="住宅内部装修" localSheetId="34">'比较法-平房'!$B$122:$M$122</definedName>
    <definedName name="住宅内部装修">'比较法-楼房'!$B$122:$M$122</definedName>
    <definedName name="住宅物业管理" localSheetId="34">'比较法-平房'!$B$114:$M$114</definedName>
    <definedName name="住宅物业管理">'比较法-楼房'!$B$114:$M$114</definedName>
    <definedName name="住宅用途" localSheetId="34">'比较法-平房'!$B$63:$M$63</definedName>
    <definedName name="住宅用途">'比较法-楼房'!$B$63:$M$63</definedName>
    <definedName name="住宅主力户型面积" localSheetId="34">'比较法-平房'!$B$120:$M$120</definedName>
    <definedName name="住宅主力户型面积">'比较法-楼房'!$B$120:$M$120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0" i="21" l="1"/>
  <c r="I44" i="21"/>
  <c r="G44" i="21"/>
  <c r="E44" i="21"/>
  <c r="C145" i="82"/>
  <c r="J142" i="82"/>
  <c r="J140" i="82"/>
  <c r="K145" i="82" s="1"/>
  <c r="K139" i="82"/>
  <c r="B130" i="82"/>
  <c r="B128" i="82"/>
  <c r="B126" i="82"/>
  <c r="J44" i="82" s="1"/>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E110" i="82"/>
  <c r="F110" i="82" s="1"/>
  <c r="G110" i="82" s="1"/>
  <c r="H110" i="82" s="1"/>
  <c r="I110" i="82" s="1"/>
  <c r="J110" i="82" s="1"/>
  <c r="K110" i="82" s="1"/>
  <c r="L110" i="82" s="1"/>
  <c r="M110" i="82" s="1"/>
  <c r="D110"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F89" i="82" s="1"/>
  <c r="G89" i="82" s="1"/>
  <c r="H89" i="82" s="1"/>
  <c r="I89" i="82" s="1"/>
  <c r="J89" i="82" s="1"/>
  <c r="K89" i="82" s="1"/>
  <c r="L89" i="82" s="1"/>
  <c r="M89" i="82" s="1"/>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P47" i="82"/>
  <c r="I47" i="82"/>
  <c r="V47" i="82" s="1"/>
  <c r="G47" i="82"/>
  <c r="G54" i="82" s="1"/>
  <c r="H54" i="82" s="1"/>
  <c r="E47" i="82"/>
  <c r="R47" i="82" s="1"/>
  <c r="Q46" i="82"/>
  <c r="Z46" i="82" s="1"/>
  <c r="J46" i="82"/>
  <c r="AC46" i="82" s="1"/>
  <c r="H46" i="82"/>
  <c r="AB46" i="82" s="1"/>
  <c r="F46" i="82"/>
  <c r="AA46" i="82" s="1"/>
  <c r="Q45" i="82"/>
  <c r="Z45" i="82" s="1"/>
  <c r="J45" i="82"/>
  <c r="AC45" i="82" s="1"/>
  <c r="H45" i="82"/>
  <c r="AB45" i="82" s="1"/>
  <c r="F45" i="82"/>
  <c r="AA45" i="82" s="1"/>
  <c r="Q44" i="82"/>
  <c r="Z44" i="82" s="1"/>
  <c r="H44" i="82"/>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AC14" i="82"/>
  <c r="W14" i="82"/>
  <c r="Q14" i="82"/>
  <c r="Z14" i="82" s="1"/>
  <c r="J14" i="82"/>
  <c r="H14" i="82"/>
  <c r="AB14" i="82" s="1"/>
  <c r="F14" i="82"/>
  <c r="AA14" i="82" s="1"/>
  <c r="AB13" i="82"/>
  <c r="U13" i="82"/>
  <c r="Q13" i="82"/>
  <c r="Z13" i="82" s="1"/>
  <c r="J13" i="82"/>
  <c r="AC13" i="82" s="1"/>
  <c r="H13" i="82"/>
  <c r="F13" i="82"/>
  <c r="AA13" i="82" s="1"/>
  <c r="Q12" i="82"/>
  <c r="Z12" i="82" s="1"/>
  <c r="J12" i="82"/>
  <c r="AC12" i="82" s="1"/>
  <c r="H12" i="82"/>
  <c r="AB12" i="82" s="1"/>
  <c r="F12" i="82"/>
  <c r="AA12" i="82" s="1"/>
  <c r="Q11" i="82"/>
  <c r="Z11" i="82" s="1"/>
  <c r="J11" i="82"/>
  <c r="AC11" i="82" s="1"/>
  <c r="H11" i="82"/>
  <c r="AB11" i="82" s="1"/>
  <c r="F11" i="82"/>
  <c r="AA11" i="82" s="1"/>
  <c r="AC10" i="82"/>
  <c r="W10" i="82"/>
  <c r="Q10" i="82"/>
  <c r="Z10" i="82" s="1"/>
  <c r="J10" i="82"/>
  <c r="H10" i="82"/>
  <c r="AB10" i="82" s="1"/>
  <c r="F10" i="82"/>
  <c r="AA10" i="82" s="1"/>
  <c r="Q9" i="82"/>
  <c r="Z9" i="82" s="1"/>
  <c r="J9" i="82"/>
  <c r="AC9" i="82" s="1"/>
  <c r="H9" i="82"/>
  <c r="AB9" i="82" s="1"/>
  <c r="F9" i="82"/>
  <c r="AA9" i="82" s="1"/>
  <c r="J8" i="82"/>
  <c r="AC8" i="82" s="1"/>
  <c r="H8" i="82"/>
  <c r="U8" i="82" s="1"/>
  <c r="F8" i="82"/>
  <c r="AA8" i="82" s="1"/>
  <c r="I7" i="82"/>
  <c r="J7" i="82" s="1"/>
  <c r="G7" i="82"/>
  <c r="H7" i="82" s="1"/>
  <c r="C7" i="82"/>
  <c r="C58" i="82" s="1"/>
  <c r="D58" i="82" s="1"/>
  <c r="E58" i="82" s="1"/>
  <c r="F58" i="82" s="1"/>
  <c r="G58" i="82" s="1"/>
  <c r="H58" i="82" s="1"/>
  <c r="I58" i="82" s="1"/>
  <c r="J58" i="82" s="1"/>
  <c r="K58" i="82" s="1"/>
  <c r="L58" i="82" s="1"/>
  <c r="M58" i="82" s="1"/>
  <c r="N58" i="82" s="1"/>
  <c r="O58" i="82" s="1"/>
  <c r="I5" i="82"/>
  <c r="G5" i="82"/>
  <c r="E5" i="82"/>
  <c r="D3" i="82"/>
  <c r="B2" i="82"/>
  <c r="I47" i="21"/>
  <c r="G47" i="21"/>
  <c r="E47" i="21"/>
  <c r="I7" i="21"/>
  <c r="G7" i="21"/>
  <c r="I5" i="21"/>
  <c r="G5" i="21"/>
  <c r="E5" i="21"/>
  <c r="B48" i="80"/>
  <c r="B49" i="80"/>
  <c r="B50" i="80"/>
  <c r="B51" i="80"/>
  <c r="B52" i="80"/>
  <c r="B53" i="80"/>
  <c r="B54" i="80"/>
  <c r="B55" i="80"/>
  <c r="B56" i="80"/>
  <c r="B57" i="80"/>
  <c r="B58" i="80"/>
  <c r="B59" i="80"/>
  <c r="B60" i="80"/>
  <c r="B61" i="80"/>
  <c r="B62" i="80"/>
  <c r="B63" i="80"/>
  <c r="B3" i="80"/>
  <c r="B4" i="80"/>
  <c r="B5" i="80"/>
  <c r="B6" i="80"/>
  <c r="B7" i="80"/>
  <c r="B8" i="80"/>
  <c r="B9" i="80"/>
  <c r="B10" i="80"/>
  <c r="B11" i="80"/>
  <c r="B12" i="80"/>
  <c r="B13" i="80"/>
  <c r="B14" i="80"/>
  <c r="B15" i="80"/>
  <c r="B16" i="80"/>
  <c r="B17" i="80"/>
  <c r="B18" i="80"/>
  <c r="B19" i="80"/>
  <c r="B20" i="80"/>
  <c r="B21" i="80"/>
  <c r="B22" i="80"/>
  <c r="B23" i="80"/>
  <c r="B24" i="80"/>
  <c r="B25" i="80"/>
  <c r="B26" i="80"/>
  <c r="B27" i="80"/>
  <c r="B28" i="80"/>
  <c r="B29" i="80"/>
  <c r="B30" i="80"/>
  <c r="B31" i="80"/>
  <c r="B32" i="80"/>
  <c r="B33" i="80"/>
  <c r="B34" i="80"/>
  <c r="B35" i="80"/>
  <c r="B36" i="80"/>
  <c r="B37" i="80"/>
  <c r="B38" i="80"/>
  <c r="B39" i="80"/>
  <c r="B40" i="80"/>
  <c r="B41" i="80"/>
  <c r="B42" i="80"/>
  <c r="B43" i="80"/>
  <c r="B44" i="80"/>
  <c r="B45" i="80"/>
  <c r="B46" i="80"/>
  <c r="B47" i="80"/>
  <c r="D2" i="82"/>
  <c r="H37" i="82" l="1"/>
  <c r="AB37" i="82" s="1"/>
  <c r="F37" i="82"/>
  <c r="AA37" i="82" s="1"/>
  <c r="J37" i="82"/>
  <c r="AC37" i="82" s="1"/>
  <c r="F44" i="82"/>
  <c r="AA44" i="82" s="1"/>
  <c r="AB7" i="82"/>
  <c r="U7" i="82"/>
  <c r="W7" i="82"/>
  <c r="AC7" i="82"/>
  <c r="F7" i="82"/>
  <c r="S8" i="82"/>
  <c r="W8" i="82"/>
  <c r="AB8" i="82"/>
  <c r="S9" i="82"/>
  <c r="W9" i="82"/>
  <c r="S12" i="82"/>
  <c r="S15" i="82"/>
  <c r="U9" i="82"/>
  <c r="S10" i="82"/>
  <c r="U11" i="82"/>
  <c r="W12" i="82"/>
  <c r="S14" i="82"/>
  <c r="W15" i="82"/>
  <c r="U10" i="82"/>
  <c r="S11" i="82"/>
  <c r="W11" i="82"/>
  <c r="U12" i="82"/>
  <c r="S13" i="82"/>
  <c r="W13" i="82"/>
  <c r="U14" i="82"/>
  <c r="U15" i="82"/>
  <c r="U17" i="82"/>
  <c r="U19" i="82"/>
  <c r="U21" i="82"/>
  <c r="U23" i="82"/>
  <c r="S25" i="82"/>
  <c r="W25" i="82"/>
  <c r="U26" i="82"/>
  <c r="S27" i="82"/>
  <c r="W27" i="82"/>
  <c r="U28" i="82"/>
  <c r="S29" i="82"/>
  <c r="W29" i="82"/>
  <c r="U30" i="82"/>
  <c r="S31" i="82"/>
  <c r="W31" i="82"/>
  <c r="U32" i="82"/>
  <c r="S33" i="82"/>
  <c r="W33" i="82"/>
  <c r="U34" i="82"/>
  <c r="S35" i="82"/>
  <c r="W35" i="82"/>
  <c r="U36" i="82"/>
  <c r="W37" i="82"/>
  <c r="U38" i="82"/>
  <c r="S39" i="82"/>
  <c r="W39" i="82"/>
  <c r="U40" i="82"/>
  <c r="S41" i="82"/>
  <c r="W41" i="82"/>
  <c r="U42" i="82"/>
  <c r="S43" i="82"/>
  <c r="W43" i="82"/>
  <c r="AB44" i="82"/>
  <c r="U44"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S38" i="82"/>
  <c r="W38" i="82"/>
  <c r="U39" i="82"/>
  <c r="S40" i="82"/>
  <c r="W40" i="82"/>
  <c r="U41" i="82"/>
  <c r="S42" i="82"/>
  <c r="W42" i="82"/>
  <c r="U43" i="82"/>
  <c r="AC44" i="82"/>
  <c r="V48" i="82" s="1"/>
  <c r="I48" i="82" s="1"/>
  <c r="I52" i="82" s="1"/>
  <c r="J52" i="82" s="1"/>
  <c r="W44" i="82"/>
  <c r="U45" i="82"/>
  <c r="S46" i="82"/>
  <c r="W46" i="82"/>
  <c r="T47" i="82"/>
  <c r="E54" i="82"/>
  <c r="F54" i="82" s="1"/>
  <c r="I54" i="82"/>
  <c r="J54" i="82" s="1"/>
  <c r="K141" i="82"/>
  <c r="K143" i="82"/>
  <c r="S45" i="82"/>
  <c r="W45" i="82"/>
  <c r="U46" i="82"/>
  <c r="K144" i="82"/>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U37" i="82" l="1"/>
  <c r="S37" i="82"/>
  <c r="S44" i="82"/>
  <c r="T48" i="82"/>
  <c r="G48" i="82" s="1"/>
  <c r="G52" i="82" s="1"/>
  <c r="H52" i="82" s="1"/>
  <c r="S7" i="82"/>
  <c r="AA7" i="82"/>
  <c r="R48" i="82" s="1"/>
  <c r="P28" i="79"/>
  <c r="B10" i="74"/>
  <c r="G53" i="82" l="1"/>
  <c r="H53" i="82" s="1"/>
  <c r="R49" i="82"/>
  <c r="E48"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3" i="82" l="1"/>
  <c r="F53" i="82" s="1"/>
  <c r="E52" i="82"/>
  <c r="F52" i="82" s="1"/>
  <c r="I53" i="82"/>
  <c r="J53" i="82" s="1"/>
  <c r="C49" i="82"/>
  <c r="C48" i="82"/>
  <c r="C7" i="78"/>
  <c r="C5" i="78"/>
  <c r="C6" i="78"/>
  <c r="F13" i="1"/>
  <c r="D13" i="1"/>
  <c r="D12" i="1"/>
  <c r="D11" i="1"/>
  <c r="D10" i="1"/>
  <c r="D9" i="1"/>
  <c r="D8" i="1"/>
  <c r="D7" i="1"/>
  <c r="D6" i="1"/>
  <c r="B3" i="82" l="1"/>
  <c r="D50" i="82"/>
  <c r="C50" i="82"/>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X33" i="71"/>
  <c r="E38" i="71"/>
  <c r="E39" i="71" s="1"/>
  <c r="E40" i="71" s="1"/>
  <c r="U40" i="71" s="1"/>
  <c r="AA37"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43" i="71"/>
  <c r="C47" i="71"/>
  <c r="D47" i="71" s="1"/>
  <c r="D46"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V28"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AB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B79" i="43"/>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B126" i="21"/>
  <c r="J44" i="21" s="1"/>
  <c r="B98" i="21"/>
  <c r="H31" i="21" s="1"/>
  <c r="B96" i="21"/>
  <c r="B94" i="21"/>
  <c r="J29" i="21"/>
  <c r="AC29" i="21" s="1"/>
  <c r="B92" i="21"/>
  <c r="B90" i="21"/>
  <c r="J27" i="21"/>
  <c r="W27" i="21" s="1"/>
  <c r="B74" i="2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c r="F28" i="21"/>
  <c r="AA28" i="21"/>
  <c r="J28" i="21"/>
  <c r="W28" i="21"/>
  <c r="H30" i="21"/>
  <c r="U30" i="21"/>
  <c r="F30" i="21"/>
  <c r="S30" i="21"/>
  <c r="J30" i="21"/>
  <c r="AC30"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c r="AZ581"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s="1"/>
  <c r="BQ521" i="3"/>
  <c r="BL521" i="3" s="1"/>
  <c r="AZ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A43" i="21"/>
  <c r="S39" i="21"/>
  <c r="AA38" i="21"/>
  <c r="AA36" i="21"/>
  <c r="AC40" i="21"/>
  <c r="J15" i="21"/>
  <c r="W15" i="21" s="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F37" i="21"/>
  <c r="AA37" i="21" s="1"/>
  <c r="AA26" i="21"/>
  <c r="AB14" i="21"/>
  <c r="AB46" i="21"/>
  <c r="U40" i="21"/>
  <c r="U13" i="21"/>
  <c r="S35" i="21"/>
  <c r="J37" i="21"/>
  <c r="W37" i="21" s="1"/>
  <c r="H15" i="21"/>
  <c r="U15" i="21" s="1"/>
  <c r="J17" i="21"/>
  <c r="AC17" i="21" s="1"/>
  <c r="AC14" i="21"/>
  <c r="W30" i="21"/>
  <c r="S46" i="21"/>
  <c r="H45" i="21"/>
  <c r="U45" i="21" s="1"/>
  <c r="F29" i="21"/>
  <c r="S29" i="21"/>
  <c r="F13" i="21"/>
  <c r="AA13" i="21"/>
  <c r="H9" i="21"/>
  <c r="U9" i="21" s="1"/>
  <c r="J9" i="21"/>
  <c r="AC9" i="21" s="1"/>
  <c r="J32" i="21"/>
  <c r="W32" i="21" s="1"/>
  <c r="F32" i="21"/>
  <c r="S32" i="21" s="1"/>
  <c r="AA31" i="21"/>
  <c r="W29" i="21"/>
  <c r="S19" i="21"/>
  <c r="AA9" i="21"/>
  <c r="K141" i="21"/>
  <c r="K144" i="21"/>
  <c r="K143" i="21"/>
  <c r="U27" i="21"/>
  <c r="AB25" i="21"/>
  <c r="AA30" i="21"/>
  <c r="F10" i="21"/>
  <c r="AA10" i="21" s="1"/>
  <c r="K145" i="21"/>
  <c r="W25" i="21"/>
  <c r="AA29" i="21"/>
  <c r="W31" i="21"/>
  <c r="S27" i="21"/>
  <c r="AA15" i="21"/>
  <c r="AC27" i="21"/>
  <c r="AC26"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AA23" i="21"/>
  <c r="J23" i="21"/>
  <c r="W23" i="21" s="1"/>
  <c r="F85" i="21"/>
  <c r="G85" i="21"/>
  <c r="H23" i="21"/>
  <c r="U23" i="21" s="1"/>
  <c r="S13" i="21"/>
  <c r="D6" i="52"/>
  <c r="AP7" i="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35" i="9"/>
  <c r="B9" i="76"/>
  <c r="M28" i="15"/>
  <c r="F7" i="73"/>
  <c r="M26" i="15"/>
  <c r="D7" i="73"/>
  <c r="M29" i="67"/>
  <c r="E2" i="69"/>
  <c r="M26" i="67"/>
  <c r="L47" i="67"/>
  <c r="F5" i="73"/>
  <c r="B8" i="76"/>
  <c r="J15" i="67"/>
  <c r="E11" i="76"/>
  <c r="F36" i="67"/>
  <c r="M29" i="15"/>
  <c r="F16" i="15"/>
  <c r="D34" i="9"/>
  <c r="M9" i="67"/>
  <c r="F37" i="67"/>
  <c r="E7" i="76"/>
  <c r="F43" i="15"/>
  <c r="F37" i="15"/>
  <c r="L47" i="15"/>
  <c r="E9" i="76"/>
  <c r="M6" i="67"/>
  <c r="F9" i="67"/>
  <c r="D19" i="9"/>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D20" i="9"/>
  <c r="C76" i="67"/>
  <c r="F38" i="15"/>
  <c r="B13" i="76"/>
  <c r="D5" i="73"/>
  <c r="F7" i="15"/>
  <c r="F8" i="67"/>
  <c r="B10" i="76"/>
  <c r="E13" i="76"/>
  <c r="L48" i="15"/>
  <c r="M8" i="67"/>
  <c r="F7" i="67"/>
  <c r="B7" i="76"/>
  <c r="M24" i="67"/>
  <c r="F16" i="67"/>
  <c r="F20" i="31"/>
  <c r="M9" i="15"/>
  <c r="F4" i="73"/>
  <c r="F40" i="67"/>
  <c r="F6" i="67"/>
  <c r="F42" i="67"/>
  <c r="M6" i="15"/>
  <c r="C19" i="9"/>
  <c r="E8" i="76"/>
  <c r="E10" i="76"/>
  <c r="C20" i="9"/>
  <c r="E12" i="76"/>
  <c r="M22" i="15"/>
  <c r="W44" i="21" l="1"/>
  <c r="AC44" i="21"/>
  <c r="F44" i="21"/>
  <c r="H44" i="21"/>
  <c r="F17" i="21"/>
  <c r="W39" i="21"/>
  <c r="H32" i="21"/>
  <c r="AB32" i="21" s="1"/>
  <c r="S40" i="21"/>
  <c r="S37" i="21"/>
  <c r="AB45" i="21"/>
  <c r="U43" i="21"/>
  <c r="W42" i="21"/>
  <c r="AB39" i="21"/>
  <c r="AC38" i="21"/>
  <c r="S34" i="21"/>
  <c r="AC34" i="21"/>
  <c r="U34" i="21"/>
  <c r="AA32" i="21"/>
  <c r="AC23" i="21"/>
  <c r="AB21" i="21"/>
  <c r="AC19" i="21"/>
  <c r="U17" i="21"/>
  <c r="B73" i="43"/>
  <c r="B76" i="43"/>
  <c r="B75" i="43"/>
  <c r="AB15" i="21"/>
  <c r="AC15" i="21"/>
  <c r="W13" i="21"/>
  <c r="AA12" i="21"/>
  <c r="AB9" i="21"/>
  <c r="W9" i="21"/>
  <c r="A118" i="9"/>
  <c r="C28" i="67"/>
  <c r="G23" i="43"/>
  <c r="O23" i="43" s="1"/>
  <c r="C7" i="40"/>
  <c r="C63" i="40" s="1"/>
  <c r="C7" i="33"/>
  <c r="C7" i="39"/>
  <c r="C67" i="39" s="1"/>
  <c r="E19" i="71"/>
  <c r="E18" i="71" s="1"/>
  <c r="E17" i="71" s="1"/>
  <c r="E16" i="71" s="1"/>
  <c r="V20" i="71"/>
  <c r="C16" i="71"/>
  <c r="D17" i="71"/>
  <c r="D19" i="53"/>
  <c r="B38" i="72" s="1"/>
  <c r="D16" i="53"/>
  <c r="B34" i="72" s="1"/>
  <c r="AB31" i="21"/>
  <c r="U31" i="21"/>
  <c r="W45" i="21"/>
  <c r="AC45" i="21"/>
  <c r="AB9" i="34"/>
  <c r="U9" i="34"/>
  <c r="AB9" i="33"/>
  <c r="U9" i="33"/>
  <c r="U12" i="34"/>
  <c r="AB12" i="34"/>
  <c r="AC11" i="35"/>
  <c r="J12" i="35"/>
  <c r="H36" i="35"/>
  <c r="J36" i="35"/>
  <c r="J23" i="36"/>
  <c r="H23" i="36"/>
  <c r="F23" i="36"/>
  <c r="W31" i="35"/>
  <c r="AC31" i="35"/>
  <c r="G551" i="3"/>
  <c r="G5" i="3" s="1"/>
  <c r="B3" i="3" s="1"/>
  <c r="BL548" i="3"/>
  <c r="AZ548" i="3" s="1"/>
  <c r="AZ489" i="3"/>
  <c r="W17" i="21"/>
  <c r="BA5" i="3"/>
  <c r="U12" i="39"/>
  <c r="G28" i="6"/>
  <c r="F29" i="6"/>
  <c r="AA41" i="34"/>
  <c r="J9" i="34"/>
  <c r="F9" i="34"/>
  <c r="AA9" i="34" s="1"/>
  <c r="J12" i="34"/>
  <c r="F12" i="34"/>
  <c r="J34" i="35"/>
  <c r="H34" i="35"/>
  <c r="F34" i="35"/>
  <c r="AZ398" i="3"/>
  <c r="AZ405" i="3"/>
  <c r="AZ407" i="3"/>
  <c r="AZ410" i="3"/>
  <c r="AZ415" i="3"/>
  <c r="AZ420" i="3"/>
  <c r="AZ426" i="3"/>
  <c r="AZ431" i="3"/>
  <c r="AZ436" i="3"/>
  <c r="AZ448" i="3"/>
  <c r="AZ452" i="3"/>
  <c r="AZ461" i="3"/>
  <c r="AZ463" i="3"/>
  <c r="AZ468" i="3"/>
  <c r="AZ470" i="3"/>
  <c r="AZ479" i="3"/>
  <c r="AZ485" i="3"/>
  <c r="AZ385" i="3"/>
  <c r="AZ210" i="3"/>
  <c r="AZ225" i="3"/>
  <c r="AZ239" i="3"/>
  <c r="AZ255" i="3"/>
  <c r="AZ272" i="3"/>
  <c r="AZ276" i="3"/>
  <c r="AZ289" i="3"/>
  <c r="AZ294" i="3"/>
  <c r="AZ300" i="3"/>
  <c r="AZ118" i="3"/>
  <c r="AZ121" i="3"/>
  <c r="AZ134" i="3"/>
  <c r="AZ137" i="3"/>
  <c r="AZ145" i="3"/>
  <c r="AZ161" i="3"/>
  <c r="AZ177" i="3"/>
  <c r="AZ193" i="3"/>
  <c r="AZ34" i="3"/>
  <c r="AZ38" i="3"/>
  <c r="AZ44" i="3"/>
  <c r="AZ48" i="3"/>
  <c r="AZ60" i="3"/>
  <c r="AZ73" i="3"/>
  <c r="AZ78" i="3"/>
  <c r="AZ87" i="3"/>
  <c r="AZ91" i="3"/>
  <c r="AZ95" i="3"/>
  <c r="AZ98" i="3"/>
  <c r="AZ100" i="3"/>
  <c r="AZ104" i="3"/>
  <c r="S21" i="21"/>
  <c r="U18" i="36"/>
  <c r="X25" i="71"/>
  <c r="X27" i="71"/>
  <c r="E30" i="71"/>
  <c r="E31" i="71" s="1"/>
  <c r="E32" i="71" s="1"/>
  <c r="U32" i="71" s="1"/>
  <c r="AA29" i="71"/>
  <c r="Y35" i="71"/>
  <c r="Z35" i="71" s="1"/>
  <c r="Y33" i="71"/>
  <c r="Z33" i="71" s="1"/>
  <c r="B38" i="71"/>
  <c r="B39" i="71" s="1"/>
  <c r="B40" i="71" s="1"/>
  <c r="S40" i="71" s="1"/>
  <c r="X37" i="71"/>
  <c r="AB38" i="71"/>
  <c r="AB37" i="71"/>
  <c r="AB10" i="71"/>
  <c r="AB9" i="71"/>
  <c r="AB39" i="71"/>
  <c r="S68" i="71"/>
  <c r="B67" i="71"/>
  <c r="N68" i="71"/>
  <c r="C39" i="71"/>
  <c r="Y30" i="71"/>
  <c r="Z30" i="71" s="1"/>
  <c r="Y31" i="71"/>
  <c r="Z31" i="71" s="1"/>
  <c r="AB31" i="71"/>
  <c r="X31" i="71"/>
  <c r="X32" i="71"/>
  <c r="AB32" i="71"/>
  <c r="AB34" i="71"/>
  <c r="AB33" i="71"/>
  <c r="AA35" i="71"/>
  <c r="AA36" i="71"/>
  <c r="X9" i="71"/>
  <c r="X10" i="71"/>
  <c r="X39" i="71"/>
  <c r="AB24" i="71"/>
  <c r="Y24" i="71"/>
  <c r="Z24" i="71" s="1"/>
  <c r="AB23" i="71"/>
  <c r="Y21" i="71"/>
  <c r="Z21" i="71" s="1"/>
  <c r="AB21" i="71"/>
  <c r="AA21" i="71"/>
  <c r="X21" i="71"/>
  <c r="X17" i="71"/>
  <c r="Y17" i="71"/>
  <c r="Z17" i="71" s="1"/>
  <c r="AA17" i="71"/>
  <c r="AB18" i="71"/>
  <c r="Y13" i="71"/>
  <c r="Z13" i="71" s="1"/>
  <c r="AB13" i="71"/>
  <c r="Y9" i="71"/>
  <c r="Z9" i="71" s="1"/>
  <c r="Y10" i="71"/>
  <c r="Z10" i="71" s="1"/>
  <c r="AA9" i="71"/>
  <c r="AA10" i="71"/>
  <c r="X24" i="71"/>
  <c r="AA24" i="71"/>
  <c r="AA23" i="71"/>
  <c r="AA22" i="71"/>
  <c r="Y18" i="71"/>
  <c r="Z18" i="71" s="1"/>
  <c r="X18" i="71"/>
  <c r="AA18" i="71"/>
  <c r="Y23" i="71"/>
  <c r="Z23" i="71" s="1"/>
  <c r="Y22" i="71"/>
  <c r="Z22" i="71" s="1"/>
  <c r="X22" i="71"/>
  <c r="X15" i="71"/>
  <c r="AA15" i="71"/>
  <c r="AB11" i="71"/>
  <c r="Y11" i="71"/>
  <c r="Z11" i="71" s="1"/>
  <c r="Y12" i="71"/>
  <c r="Z12" i="71" s="1"/>
  <c r="Y14" i="71"/>
  <c r="Z14" i="71" s="1"/>
  <c r="AA12" i="71"/>
  <c r="AA14" i="71"/>
  <c r="X13" i="71"/>
  <c r="AB15" i="71"/>
  <c r="AB17" i="71"/>
  <c r="AB12" i="71"/>
  <c r="AB14" i="71"/>
  <c r="AA11" i="71"/>
  <c r="AA13" i="71"/>
  <c r="X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I18" i="43"/>
  <c r="E17" i="43" s="1"/>
  <c r="C17" i="43" s="1"/>
  <c r="C24" i="43"/>
  <c r="H26" i="43"/>
  <c r="F26" i="43"/>
  <c r="J26" i="43"/>
  <c r="G26" i="43"/>
  <c r="E26" i="43"/>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G1" i="73"/>
  <c r="C16" i="67"/>
  <c r="U44" i="21" l="1"/>
  <c r="AB44" i="21"/>
  <c r="AA44" i="21"/>
  <c r="S44" i="21"/>
  <c r="AA17" i="21"/>
  <c r="S17" i="21"/>
  <c r="U32" i="21"/>
  <c r="P26" i="43"/>
  <c r="A1" i="7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46" i="3"/>
  <c r="E391" i="3"/>
  <c r="E333" i="3"/>
  <c r="E356" i="3"/>
  <c r="AL6" i="3"/>
  <c r="E42" i="3"/>
  <c r="E94" i="3"/>
  <c r="E75" i="3"/>
  <c r="E428" i="3"/>
  <c r="E482" i="3"/>
  <c r="E412" i="3"/>
  <c r="E18" i="3"/>
  <c r="E96" i="3"/>
  <c r="E100" i="3"/>
  <c r="E170" i="3"/>
  <c r="E137" i="3"/>
  <c r="E194" i="3"/>
  <c r="E234" i="3"/>
  <c r="E219" i="3"/>
  <c r="E299" i="3"/>
  <c r="E339" i="3"/>
  <c r="E383" i="3"/>
  <c r="E392" i="3"/>
  <c r="AQ6" i="3"/>
  <c r="E35" i="3"/>
  <c r="E86" i="3"/>
  <c r="E34" i="3"/>
  <c r="E49" i="3"/>
  <c r="E206" i="3"/>
  <c r="E232" i="3"/>
  <c r="E251" i="3"/>
  <c r="E370" i="3"/>
  <c r="AF6" i="3"/>
  <c r="E50"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2" i="3"/>
  <c r="E372" i="3"/>
  <c r="L6" i="3"/>
  <c r="E60" i="3"/>
  <c r="E43" i="3"/>
  <c r="E540" i="3"/>
  <c r="E473" i="3"/>
  <c r="E15" i="3"/>
  <c r="E455" i="3"/>
  <c r="E79" i="3"/>
  <c r="E38" i="3"/>
  <c r="E78" i="3"/>
  <c r="E129" i="3"/>
  <c r="E190" i="3"/>
  <c r="E174" i="3"/>
  <c r="E220" i="3"/>
  <c r="E275" i="3"/>
  <c r="E235" i="3"/>
  <c r="E324" i="3"/>
  <c r="E325" i="3"/>
  <c r="E342" i="3"/>
  <c r="E522" i="3"/>
  <c r="E52" i="3"/>
  <c r="E36" i="3"/>
  <c r="E112" i="3"/>
  <c r="E123" i="3"/>
  <c r="E147" i="3"/>
  <c r="E289" i="3"/>
  <c r="E340" i="3"/>
  <c r="E364"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S34" i="35"/>
  <c r="AA34" i="35"/>
  <c r="AC34" i="35"/>
  <c r="W34" i="35"/>
  <c r="W12" i="34"/>
  <c r="AC12" i="34"/>
  <c r="AC9" i="34"/>
  <c r="W9" i="34"/>
  <c r="AA23" i="36"/>
  <c r="S23" i="36"/>
  <c r="W23" i="36"/>
  <c r="AC23" i="36"/>
  <c r="AB36" i="35"/>
  <c r="U36" i="35"/>
  <c r="BL5" i="3"/>
  <c r="B15" i="71"/>
  <c r="B14" i="71" s="1"/>
  <c r="B13" i="71" s="1"/>
  <c r="B12" i="71" s="1"/>
  <c r="S16" i="71"/>
  <c r="D39" i="71"/>
  <c r="C40" i="71"/>
  <c r="B66" i="71"/>
  <c r="N67" i="71"/>
  <c r="AB34" i="35"/>
  <c r="U34" i="35"/>
  <c r="S12" i="34"/>
  <c r="AA12" i="34"/>
  <c r="AB23" i="36"/>
  <c r="U23" i="36"/>
  <c r="AC36" i="35"/>
  <c r="W36" i="35"/>
  <c r="W12" i="35"/>
  <c r="AC12"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T40" i="71"/>
  <c r="D40" i="71"/>
  <c r="E11" i="71"/>
  <c r="E10" i="71" s="1"/>
  <c r="E9" i="71" s="1"/>
  <c r="E8" i="71" s="1"/>
  <c r="E7" i="71" s="1"/>
  <c r="E6" i="71" s="1"/>
  <c r="E5" i="71" s="1"/>
  <c r="V12" i="71"/>
  <c r="D15" i="71"/>
  <c r="C14" i="71"/>
  <c r="N65" i="71"/>
  <c r="N66"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F41" i="15"/>
  <c r="M27" i="67"/>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4" i="67"/>
  <c r="C17"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D50" i="21" s="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12" i="1"/>
  <c r="AO7"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9" i="52"/>
  <c r="D123" i="9"/>
  <c r="B51" i="72"/>
  <c r="F4" i="52"/>
  <c r="M54" i="9"/>
  <c r="D56" i="9"/>
  <c r="D58" i="9"/>
  <c r="C97" i="9"/>
  <c r="B52" i="72"/>
  <c r="G4" i="52"/>
  <c r="B22" i="72"/>
  <c r="D6" i="53"/>
  <c r="B49" i="72"/>
  <c r="D5" i="52"/>
  <c r="D119" i="9"/>
  <c r="E97" i="9"/>
  <c r="E96" i="9"/>
  <c r="C85" i="9"/>
  <c r="C95" i="9"/>
  <c r="C96" i="9"/>
  <c r="B47" i="72"/>
  <c r="D118" i="9"/>
  <c r="D4" i="52"/>
  <c r="C73" i="9"/>
  <c r="C78" i="9"/>
  <c r="C81" i="9"/>
  <c r="B48" i="72"/>
  <c r="E118" i="9"/>
  <c r="E4" i="52"/>
  <c r="B31" i="72"/>
  <c r="D15" i="53"/>
  <c r="H5" i="52"/>
  <c r="H119" i="9"/>
  <c r="C86" i="9"/>
  <c r="C93" i="9"/>
  <c r="B32" i="72"/>
  <c r="D14" i="53"/>
  <c r="N61" i="9"/>
  <c r="N59" i="9"/>
  <c r="N60" i="9"/>
  <c r="B21" i="72"/>
  <c r="D7" i="53"/>
  <c r="M48" i="9"/>
  <c r="D5" i="53"/>
  <c r="B20" i="72"/>
  <c r="G118" i="9"/>
  <c r="F118" i="9"/>
  <c r="F119" i="9"/>
  <c r="F5" i="52"/>
  <c r="B53" i="72"/>
  <c r="P57" i="9"/>
  <c r="D55" i="9"/>
  <c r="M53" i="9"/>
  <c r="N57" i="9"/>
  <c r="N58" i="9"/>
  <c r="D59" i="9"/>
  <c r="M55" i="9"/>
  <c r="C105" i="9"/>
  <c r="I4" i="52"/>
  <c r="C64" i="9"/>
  <c r="C63" i="9"/>
  <c r="C67" i="9"/>
  <c r="C68" i="9"/>
  <c r="D54" i="9"/>
  <c r="H102" i="9"/>
  <c r="C5" i="74"/>
  <c r="D122" i="9"/>
  <c r="D8" i="52"/>
  <c r="C72" i="9"/>
  <c r="C79" i="9"/>
  <c r="C80" i="9"/>
  <c r="E80" i="9"/>
  <c r="E81" i="9"/>
  <c r="H108" i="9"/>
  <c r="C6" i="74"/>
  <c r="H4" i="52"/>
  <c r="C104" i="9"/>
  <c r="D53" i="9"/>
  <c r="D45" i="9"/>
  <c r="D52"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61CD2FF-EDF4-4431-AE51-50888D90F524}">
      <text>
        <r>
          <rPr>
            <b/>
            <sz val="9"/>
            <color indexed="81"/>
            <rFont val="宋体"/>
            <family val="3"/>
            <charset val="134"/>
          </rPr>
          <t>权重验证</t>
        </r>
        <r>
          <rPr>
            <sz val="9"/>
            <color indexed="81"/>
            <rFont val="宋体"/>
            <family val="3"/>
            <charset val="134"/>
          </rPr>
          <t xml:space="preserve">
</t>
        </r>
      </text>
    </comment>
    <comment ref="C58" authorId="1" shapeId="0" xr:uid="{4AA32936-D91C-4F1B-8F5A-22A49F4FDDEA}">
      <text>
        <r>
          <rPr>
            <b/>
            <sz val="12"/>
            <color indexed="81"/>
            <rFont val="宋体"/>
            <family val="3"/>
            <charset val="134"/>
          </rPr>
          <t>价值时点所在月度</t>
        </r>
        <r>
          <rPr>
            <sz val="12"/>
            <color indexed="81"/>
            <rFont val="宋体"/>
            <family val="3"/>
            <charset val="134"/>
          </rPr>
          <t xml:space="preserve">
</t>
        </r>
      </text>
    </comment>
    <comment ref="B102" authorId="1" shapeId="0" xr:uid="{5CF9AD3C-BDBE-4025-AFB3-5C56ED0C186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<sst xmlns="http://schemas.openxmlformats.org/spreadsheetml/2006/main" count="8479" uniqueCount="3482">
  <si>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</si>
  <si>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</si>
  <si>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</si>
  <si>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</si>
  <si>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</si>
  <si>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</si>
  <si>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</si>
  <si>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</si>
  <si>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</si>
  <si>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</si>
  <si>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</si>
  <si>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</si>
  <si>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</si>
  <si>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</si>
  <si>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</si>
  <si>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</si>
  <si>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</si>
  <si>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</si>
  <si>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</si>
  <si>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</si>
  <si>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</si>
  <si>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</si>
  <si>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</si>
  <si>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</si>
  <si>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</si>
  <si>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</si>
  <si>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</si>
  <si>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</si>
  <si>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</si>
  <si>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</si>
  <si>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</si>
  <si>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</si>
  <si>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</si>
  <si>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</si>
  <si>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</si>
  <si>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</si>
  <si>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</si>
  <si>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</si>
  <si>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</si>
  <si>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</si>
  <si>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</si>
  <si>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</si>
  <si>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</si>
  <si>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</si>
  <si>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</si>
  <si>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</si>
  <si>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</si>
  <si>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</si>
  <si>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</si>
  <si>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</si>
  <si>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</si>
  <si>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</si>
  <si>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</si>
  <si>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</si>
  <si>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</si>
  <si>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</si>
  <si>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</si>
  <si>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</si>
  <si>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</si>
  <si>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</si>
  <si>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</si>
  <si>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</si>
  <si>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</si>
  <si>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</si>
  <si>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</si>
  <si>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</si>
  <si>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</si>
  <si>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</si>
  <si>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</si>
  <si>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</si>
  <si>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</si>
  <si>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</si>
  <si>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</si>
  <si>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</si>
  <si>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</si>
  <si>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</si>
  <si>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</si>
  <si>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</si>
  <si>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</si>
  <si>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</si>
  <si>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</si>
  <si>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</si>
  <si>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</si>
  <si>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</si>
  <si>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</si>
  <si>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</si>
  <si>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</si>
  <si>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</si>
  <si>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</si>
  <si>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</si>
  <si>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</si>
  <si>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</si>
  <si>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</si>
  <si>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</si>
  <si>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</si>
  <si>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</si>
  <si>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</si>
  <si>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</si>
  <si>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</si>
  <si>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</si>
  <si>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</si>
  <si>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</si>
  <si>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</si>
  <si>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</si>
  <si>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</si>
  <si>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</si>
  <si>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</si>
  <si>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</si>
  <si>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</si>
  <si>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</si>
  <si>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</si>
  <si>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</si>
  <si>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</si>
  <si>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</si>
  <si>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</si>
  <si>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</si>
  <si>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</si>
  <si>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</si>
  <si>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</si>
  <si>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</si>
  <si>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</si>
  <si>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</si>
  <si>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</si>
  <si>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</si>
  <si>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</si>
  <si>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</si>
  <si>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</si>
  <si>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</si>
  <si>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</si>
  <si>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</si>
  <si>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</si>
  <si>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</si>
  <si>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</si>
  <si>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</si>
  <si>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</si>
  <si>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</si>
  <si>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</si>
  <si>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</si>
  <si>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</si>
  <si>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</si>
  <si>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</si>
  <si>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</si>
  <si>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</si>
  <si>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</si>
  <si>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</si>
  <si>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</si>
  <si>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</si>
  <si>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</si>
  <si>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</si>
  <si>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</si>
  <si>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</si>
  <si>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</si>
  <si>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</si>
  <si>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</si>
  <si>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</si>
  <si>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</si>
  <si>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</si>
  <si>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</si>
  <si>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</si>
  <si>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</si>
  <si>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</si>
  <si>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</si>
  <si>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</si>
  <si>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</si>
  <si>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</si>
  <si>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</si>
  <si>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</si>
  <si>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</si>
  <si>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</si>
  <si>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</si>
  <si>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</si>
  <si>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</si>
  <si>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</si>
  <si>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</si>
  <si>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</si>
  <si>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</si>
  <si>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</si>
  <si>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</si>
  <si>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</si>
  <si>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</si>
  <si>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</si>
  <si>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</si>
  <si>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</si>
  <si>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</si>
  <si>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</si>
  <si>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</si>
  <si>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</si>
  <si>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</si>
  <si>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</si>
  <si>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</si>
  <si>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</si>
  <si>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</si>
  <si>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</si>
  <si>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</si>
  <si>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</si>
  <si>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</si>
  <si>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</si>
  <si>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</si>
  <si>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</si>
  <si>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</si>
  <si>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</si>
  <si>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</si>
  <si>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</si>
  <si>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</si>
  <si>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</si>
  <si>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</si>
  <si>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</si>
  <si>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</si>
  <si>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</si>
  <si>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</si>
  <si>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</si>
  <si>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</si>
  <si>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</si>
  <si>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</si>
  <si>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</si>
  <si>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</si>
  <si>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</si>
  <si>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</si>
  <si>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</si>
  <si>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</si>
  <si>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</si>
  <si>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</si>
  <si>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</si>
  <si>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</si>
  <si>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</si>
  <si>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</si>
  <si>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</si>
  <si>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</si>
  <si>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</si>
  <si>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</si>
  <si>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</si>
  <si>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</si>
  <si>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</si>
  <si>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</si>
  <si>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</si>
  <si>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</si>
  <si>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</si>
  <si>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</si>
  <si>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</si>
  <si>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</si>
  <si>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</si>
  <si>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</si>
  <si>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</si>
  <si>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</si>
  <si>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</si>
  <si>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</si>
  <si>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</si>
  <si>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</si>
  <si>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</si>
  <si>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</si>
  <si>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</si>
  <si>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</si>
  <si>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</si>
  <si>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</si>
  <si>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</si>
  <si>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</si>
  <si>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</si>
  <si>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</si>
  <si>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</si>
  <si>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</si>
  <si>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</si>
  <si>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</si>
  <si>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</si>
  <si>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</si>
  <si>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</si>
  <si>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</si>
  <si>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</si>
  <si>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</si>
  <si>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</si>
  <si>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</si>
  <si>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</si>
  <si>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</si>
  <si>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</si>
  <si>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</si>
  <si>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</si>
  <si>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</si>
  <si>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</si>
  <si>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</si>
  <si>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</si>
  <si>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</si>
  <si>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</si>
  <si>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</si>
  <si>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</si>
  <si>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</si>
  <si>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</si>
  <si>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</si>
  <si>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</si>
  <si>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</si>
  <si>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</si>
  <si>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</si>
  <si>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</si>
  <si>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</si>
  <si>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</si>
  <si>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</si>
  <si>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</si>
  <si>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</si>
  <si>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</si>
  <si>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</si>
  <si>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</si>
  <si>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</si>
  <si>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</si>
  <si>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</si>
  <si>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</si>
  <si>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</si>
  <si>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</si>
  <si>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</si>
  <si>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</si>
  <si>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</si>
  <si>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</si>
  <si>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</si>
  <si>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</si>
  <si>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</si>
  <si>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</si>
  <si>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</si>
  <si>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</si>
  <si>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</si>
  <si>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</si>
  <si>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</si>
  <si>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</si>
  <si>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</si>
  <si>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</si>
  <si>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</si>
  <si>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</si>
  <si>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</si>
  <si>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</si>
  <si>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</si>
  <si>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</si>
  <si>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</si>
  <si>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</si>
  <si>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</si>
  <si>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</si>
  <si>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</si>
  <si>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</si>
  <si>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</si>
  <si>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</si>
  <si>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</si>
  <si>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</si>
  <si>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</si>
  <si>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</si>
  <si>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</si>
  <si>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</si>
  <si>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</si>
  <si>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</si>
  <si>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</si>
  <si>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</si>
  <si>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</si>
  <si>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</si>
  <si>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</si>
  <si>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</si>
  <si>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</si>
  <si>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</si>
  <si>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</si>
  <si>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</si>
  <si>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</si>
  <si>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</si>
  <si>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</si>
  <si>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</si>
  <si>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</si>
  <si>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</si>
  <si>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</si>
  <si>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</si>
  <si>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</si>
  <si>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</si>
  <si>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</si>
  <si>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</si>
  <si>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</si>
  <si>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</si>
  <si>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</si>
  <si>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</si>
  <si>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</si>
  <si>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</si>
  <si>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</si>
  <si>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</si>
  <si>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</si>
  <si>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</si>
  <si>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</si>
  <si>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</si>
  <si>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</si>
  <si>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</si>
  <si>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</si>
  <si>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</si>
  <si>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</si>
  <si>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</si>
  <si>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</si>
  <si>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</si>
  <si>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</si>
  <si>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</si>
  <si>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</si>
  <si>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</si>
  <si>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</si>
  <si>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</si>
  <si>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</si>
  <si>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</si>
  <si>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</si>
  <si>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</si>
  <si>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</si>
  <si>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</si>
  <si>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</si>
  <si>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</si>
  <si>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</si>
  <si>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</si>
  <si>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</si>
  <si>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</si>
  <si>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</si>
  <si>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</si>
  <si>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</si>
  <si>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</si>
  <si>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</si>
  <si>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</si>
  <si>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</si>
  <si>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</si>
  <si>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</si>
  <si>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</si>
  <si>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</si>
  <si>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</si>
  <si>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</si>
  <si>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</si>
  <si>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</si>
  <si>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</si>
  <si>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</si>
  <si>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</si>
  <si>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</si>
  <si>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</si>
  <si>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</si>
  <si>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</si>
  <si>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</si>
  <si>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</si>
  <si>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</si>
  <si>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</si>
  <si>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</si>
  <si>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</si>
  <si>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</si>
  <si>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</si>
  <si>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</si>
  <si>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</si>
  <si>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</si>
  <si>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</si>
  <si>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</si>
  <si>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</si>
  <si>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</si>
  <si>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</si>
  <si>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</si>
  <si>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</si>
  <si>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</si>
  <si>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</si>
  <si>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</si>
  <si>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</si>
  <si>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</si>
  <si>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</si>
  <si>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</si>
  <si>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</si>
  <si>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</si>
  <si>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</si>
  <si>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</si>
  <si>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</si>
  <si>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</si>
  <si>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</si>
  <si>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</si>
  <si>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</si>
  <si>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</si>
  <si>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</si>
  <si>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</si>
  <si>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</si>
  <si>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</si>
  <si>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</si>
  <si>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</si>
  <si>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</si>
  <si>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</si>
  <si>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</si>
  <si>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</si>
  <si>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</si>
  <si>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</si>
  <si>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</si>
  <si>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</si>
  <si>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</si>
  <si>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</si>
  <si>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</si>
  <si>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</si>
  <si>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</si>
  <si>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</si>
  <si>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</si>
  <si>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</si>
  <si>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</si>
  <si>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</si>
  <si>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</si>
  <si>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</si>
  <si>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</si>
  <si>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</si>
  <si>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</si>
  <si>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</si>
  <si>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</si>
  <si>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</si>
  <si>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</si>
  <si>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</si>
  <si>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</si>
  <si>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</si>
  <si>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</si>
  <si>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</si>
  <si>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</si>
  <si>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</si>
  <si>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</si>
  <si>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</si>
  <si>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</si>
  <si>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</si>
  <si>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</si>
  <si>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</si>
  <si>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</si>
  <si>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</si>
  <si>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</si>
  <si>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</si>
  <si>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</si>
  <si>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</si>
  <si>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</si>
  <si>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</si>
  <si>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</si>
  <si>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</si>
  <si>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</si>
  <si>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</si>
  <si>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</si>
  <si>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</si>
  <si>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</si>
  <si>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</si>
  <si>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</si>
  <si>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</si>
  <si>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</si>
  <si>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</si>
  <si>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</si>
  <si>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</si>
  <si>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</si>
  <si>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</si>
  <si>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</si>
  <si>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</si>
  <si>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</si>
  <si>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</si>
  <si>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</si>
  <si>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</si>
  <si>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</si>
  <si>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</si>
  <si>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</si>
  <si>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</si>
  <si>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</si>
  <si>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</si>
  <si>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</si>
  <si>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</si>
  <si>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</si>
  <si>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</si>
  <si>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</si>
  <si>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</si>
  <si>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</si>
  <si>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</si>
  <si>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</si>
  <si>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</si>
  <si>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</si>
  <si>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</si>
  <si>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</si>
  <si>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</si>
  <si>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</si>
  <si>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</si>
  <si>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</si>
  <si>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</si>
  <si>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</si>
  <si>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</si>
  <si>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</si>
  <si>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</si>
  <si>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</si>
  <si>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</si>
  <si>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</si>
  <si>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</si>
  <si>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</si>
  <si>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</si>
  <si>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</si>
  <si>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</si>
  <si>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</si>
  <si>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</si>
  <si>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</si>
  <si>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</si>
  <si>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</si>
  <si>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</si>
  <si>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</si>
  <si>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</si>
  <si>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</si>
  <si>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</si>
  <si>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</si>
  <si>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</si>
  <si>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</si>
  <si>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</si>
  <si>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</si>
  <si>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</si>
  <si>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</si>
  <si>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</si>
  <si>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</si>
  <si>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</si>
  <si>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</si>
  <si>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</si>
  <si>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</si>
  <si>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</si>
  <si>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</si>
  <si>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</si>
  <si>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</si>
  <si>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</si>
  <si>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</si>
  <si>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</si>
  <si>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</si>
  <si>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</si>
  <si>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</si>
  <si>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</si>
  <si>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</si>
  <si>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</si>
  <si>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</si>
  <si>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</si>
  <si>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</si>
  <si>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</si>
  <si>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</si>
  <si>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</si>
  <si>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</si>
  <si>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</si>
  <si>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</si>
  <si>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</si>
  <si>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</si>
  <si>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</si>
  <si>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</si>
  <si>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</si>
  <si>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</si>
  <si>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</si>
  <si>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</si>
  <si>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</si>
  <si>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</si>
  <si>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</si>
  <si>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</si>
  <si>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</si>
  <si>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</si>
  <si>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</si>
  <si>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</si>
  <si>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</si>
  <si>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</si>
  <si>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</si>
  <si>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</si>
  <si>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</si>
  <si>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</si>
  <si>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</si>
  <si>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</si>
  <si>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</si>
  <si>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</si>
  <si>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</si>
  <si>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</si>
  <si>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</si>
  <si>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</si>
  <si>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</si>
  <si>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</si>
  <si>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</si>
  <si>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</si>
  <si>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</si>
  <si>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</si>
  <si>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</si>
  <si>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</si>
  <si>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</si>
  <si>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</si>
  <si>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</si>
  <si>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</si>
  <si>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</si>
  <si>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</si>
  <si>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</si>
  <si>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</si>
  <si>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</si>
  <si>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</si>
  <si>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</si>
  <si>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</si>
  <si>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</si>
  <si>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</si>
  <si>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</si>
  <si>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</si>
  <si>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</si>
  <si>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</si>
  <si>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</si>
  <si>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</si>
  <si>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</si>
  <si>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</si>
  <si>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</si>
  <si>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</si>
  <si>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</si>
  <si>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</si>
  <si>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</si>
  <si>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</si>
  <si>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</si>
  <si>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</si>
  <si>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</si>
  <si>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</si>
  <si>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</si>
  <si>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</si>
  <si>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</si>
  <si>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</si>
  <si>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</si>
  <si>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</si>
  <si>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</si>
  <si>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</si>
  <si>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</si>
  <si>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</si>
  <si>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</si>
  <si>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</si>
  <si>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</si>
  <si>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</si>
  <si>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</si>
  <si>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</si>
  <si>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</si>
  <si>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</si>
  <si>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</si>
  <si>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</si>
  <si>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</si>
  <si>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</si>
  <si>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</si>
  <si>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</si>
  <si>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</si>
  <si>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</si>
  <si>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</si>
  <si>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</si>
  <si>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</si>
  <si>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</si>
  <si>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</si>
  <si>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</si>
  <si>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</si>
  <si>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</si>
  <si>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</si>
  <si>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</si>
  <si>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</si>
  <si>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</si>
  <si>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</si>
  <si>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</si>
  <si>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</si>
  <si>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</si>
  <si>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</si>
  <si>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</si>
  <si>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</si>
  <si>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</si>
  <si>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</si>
  <si>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</si>
  <si>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</si>
  <si>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</si>
  <si>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</si>
  <si>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</si>
  <si>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</si>
  <si>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</si>
  <si>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</si>
  <si>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</si>
  <si>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</si>
  <si>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</si>
  <si>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</si>
  <si>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</si>
  <si>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</si>
  <si>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</si>
  <si>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</si>
  <si>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</si>
  <si>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</si>
  <si>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</si>
  <si>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</si>
  <si>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</si>
  <si>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</si>
  <si>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</si>
  <si>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</si>
  <si>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</si>
  <si>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</si>
  <si>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</si>
  <si>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</si>
  <si>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</si>
  <si>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</si>
  <si>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</si>
  <si>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</si>
  <si>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</si>
  <si>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</si>
  <si>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</si>
  <si>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</si>
  <si>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</si>
  <si>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</si>
  <si>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</si>
  <si>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</si>
  <si>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</si>
  <si>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</si>
  <si>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</si>
  <si>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</si>
  <si>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</si>
  <si>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</si>
  <si>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</si>
  <si>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</si>
  <si>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</si>
  <si>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</si>
  <si>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</si>
  <si>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</si>
  <si>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</si>
  <si>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</si>
  <si>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</si>
  <si>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</si>
  <si>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</si>
  <si>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</si>
  <si>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</si>
  <si>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</si>
  <si>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</si>
  <si>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</si>
  <si>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</si>
  <si>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</si>
  <si>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</si>
  <si>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</si>
  <si>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</si>
  <si>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</si>
  <si>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</si>
  <si>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</si>
  <si>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</si>
  <si>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</si>
  <si>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</si>
  <si>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</si>
  <si>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</si>
  <si>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</si>
  <si>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</si>
  <si>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</si>
  <si>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</si>
  <si>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</si>
  <si>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</si>
  <si>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</si>
  <si>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</si>
  <si>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</si>
  <si>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</si>
  <si>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</si>
  <si>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</si>
  <si>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</si>
  <si>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</si>
  <si>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</si>
  <si>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</si>
  <si>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</si>
  <si>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</si>
  <si>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</si>
  <si>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</si>
  <si>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</si>
  <si>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</si>
  <si>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</si>
  <si>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</si>
  <si>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</si>
  <si>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</si>
  <si>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</si>
  <si>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</si>
  <si>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</si>
  <si>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</si>
  <si>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</si>
  <si>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</si>
  <si>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</si>
  <si>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</si>
  <si>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</si>
  <si>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</si>
  <si>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</si>
  <si>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</si>
  <si>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</si>
  <si>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</si>
  <si>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</si>
  <si>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</si>
  <si>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</si>
  <si>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</si>
  <si>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</si>
  <si>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</si>
  <si>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</si>
  <si>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</si>
  <si>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</si>
  <si>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</si>
  <si>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</si>
  <si>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</si>
  <si>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</si>
  <si>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</si>
  <si>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</si>
  <si>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</si>
  <si>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</si>
  <si>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</si>
  <si>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</si>
  <si>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</si>
  <si>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</si>
  <si>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</si>
  <si>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</si>
  <si>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</si>
  <si>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</si>
  <si>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</si>
  <si>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</si>
  <si>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</si>
  <si>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</si>
  <si>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</si>
  <si>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</si>
  <si>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</si>
  <si>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</si>
  <si>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</si>
  <si>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</si>
  <si>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</si>
  <si>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</si>
  <si>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</si>
  <si>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</si>
  <si>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</si>
  <si>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</si>
  <si>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</si>
  <si>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</si>
  <si>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</si>
  <si>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</si>
  <si>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</si>
  <si>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</si>
  <si>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</si>
  <si>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</si>
  <si>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</si>
  <si>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</si>
  <si>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</si>
  <si>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</si>
  <si>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</si>
  <si>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</si>
  <si>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</si>
  <si>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</si>
  <si>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</si>
  <si>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</si>
  <si>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</si>
  <si>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</si>
  <si>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</si>
  <si>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</si>
  <si>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</si>
  <si>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</si>
  <si>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</si>
  <si>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</si>
  <si>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</si>
  <si>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</si>
  <si>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</si>
  <si>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</si>
  <si>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</si>
  <si>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</si>
  <si>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</si>
  <si>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</si>
  <si>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</si>
  <si>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</si>
  <si>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</si>
  <si>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</si>
  <si>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</si>
  <si>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</si>
  <si>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</si>
  <si>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</si>
  <si>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</si>
  <si>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</si>
  <si>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</si>
  <si>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</si>
  <si>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</si>
  <si>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</si>
  <si>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</si>
  <si>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</si>
  <si>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</si>
  <si>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</si>
  <si>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</si>
  <si>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</si>
  <si>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</si>
  <si>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</si>
  <si>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</si>
  <si>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</si>
  <si>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</si>
  <si>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</si>
  <si>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</si>
  <si>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</si>
  <si>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</si>
  <si>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</si>
  <si>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</si>
  <si>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</si>
  <si>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</si>
  <si>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</si>
  <si>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</si>
  <si>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</si>
  <si>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</si>
  <si>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</si>
  <si>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</si>
  <si>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</si>
  <si>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</si>
  <si>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</si>
  <si>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</si>
  <si>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</si>
  <si>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</si>
  <si>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</si>
  <si>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</si>
  <si>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</si>
  <si>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</si>
  <si>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</si>
  <si>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</si>
  <si>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</si>
  <si>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</si>
  <si>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</si>
  <si>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</si>
  <si>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</si>
  <si>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</si>
  <si>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</si>
  <si>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</si>
  <si>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</si>
  <si>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</si>
  <si>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</si>
  <si>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</si>
  <si>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</si>
  <si>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</si>
  <si>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</si>
  <si>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</si>
  <si>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</si>
  <si>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</si>
  <si>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</si>
  <si>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</si>
  <si>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</si>
  <si>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</si>
  <si>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</si>
  <si>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</si>
  <si>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</si>
  <si>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</si>
  <si>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</si>
  <si>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</si>
  <si>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</si>
  <si>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</si>
  <si>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</si>
  <si>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</si>
  <si>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</si>
  <si>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</si>
  <si>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</si>
  <si>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</si>
  <si>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</si>
  <si>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</si>
  <si>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</si>
  <si>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</si>
  <si>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</si>
  <si>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</si>
  <si>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</si>
  <si>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</si>
  <si>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</si>
  <si>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</si>
  <si>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</si>
  <si>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</si>
  <si>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</si>
  <si>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</si>
  <si>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</si>
  <si>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</si>
  <si>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</si>
  <si>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</si>
  <si>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</si>
  <si>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</si>
  <si>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</si>
  <si>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</si>
  <si>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</si>
  <si>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</si>
  <si>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</si>
  <si>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</si>
  <si>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</si>
  <si>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</si>
  <si>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</si>
  <si>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</si>
  <si>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</si>
  <si>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</si>
  <si>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</si>
  <si>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</si>
  <si>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</si>
  <si>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</si>
  <si>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</si>
  <si>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</si>
  <si>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</si>
  <si>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</si>
  <si>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</si>
  <si>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</si>
  <si>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</si>
  <si>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</si>
  <si>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</si>
  <si>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</si>
  <si>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</si>
  <si>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</si>
  <si>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</si>
  <si>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</si>
  <si>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</si>
  <si>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</si>
  <si>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</si>
  <si>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</si>
  <si>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</si>
  <si>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</si>
  <si>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</si>
  <si>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</si>
  <si>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</si>
  <si>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</si>
  <si>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</si>
  <si>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</si>
  <si>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</si>
  <si>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</si>
  <si>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</si>
  <si>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</si>
  <si>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</si>
  <si>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</si>
  <si>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</si>
  <si>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</si>
  <si>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</si>
  <si>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</si>
  <si>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</si>
  <si>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</si>
  <si>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</si>
  <si>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</si>
  <si>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</si>
  <si>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</si>
  <si>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</si>
  <si>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</si>
  <si>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</si>
  <si>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</si>
  <si>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</si>
  <si>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</si>
  <si>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</si>
  <si>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</si>
  <si>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</si>
  <si>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</si>
  <si>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</si>
  <si>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</si>
  <si>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</si>
  <si>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</si>
  <si>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</si>
  <si>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</si>
  <si>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</si>
  <si>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</si>
  <si>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</si>
  <si>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</si>
  <si>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</si>
  <si>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</si>
  <si>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</si>
  <si>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</si>
  <si>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</si>
  <si>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</si>
  <si>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</si>
  <si>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</si>
  <si>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</si>
  <si>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</si>
  <si>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</si>
  <si>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</si>
  <si>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</si>
  <si>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</si>
  <si>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</si>
  <si>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</si>
  <si>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</si>
  <si>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</si>
  <si>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</si>
  <si>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</si>
  <si>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</si>
  <si>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</si>
  <si>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</si>
  <si>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</si>
  <si>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</si>
  <si>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</si>
  <si>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</si>
  <si>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</si>
  <si>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</si>
  <si>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</si>
  <si>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</si>
  <si>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</si>
  <si>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</si>
  <si>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</si>
  <si>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</si>
  <si>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</si>
  <si>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</si>
  <si>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</si>
  <si>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</si>
  <si>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</si>
  <si>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</si>
  <si>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</si>
  <si>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</si>
  <si>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</si>
  <si>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</si>
  <si>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</si>
  <si>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</si>
  <si>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</si>
  <si>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</si>
  <si>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</si>
  <si>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</si>
  <si>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</si>
  <si>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</si>
  <si>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</si>
  <si>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</si>
  <si>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</si>
  <si>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</si>
  <si>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</si>
  <si>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</si>
  <si>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</si>
  <si>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</si>
  <si>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</si>
  <si>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</si>
  <si>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</si>
  <si>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</si>
  <si>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</si>
  <si>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</si>
  <si>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</si>
  <si>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</si>
  <si>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</si>
  <si>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</si>
  <si>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</si>
  <si>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</si>
  <si>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</si>
  <si>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</si>
  <si>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</si>
  <si>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</si>
  <si>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</si>
  <si>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</si>
  <si>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</si>
  <si>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</si>
  <si>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</si>
  <si>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</si>
  <si>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</si>
  <si>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</si>
  <si>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</si>
  <si>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</si>
  <si>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</si>
  <si>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</si>
  <si>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</si>
  <si>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</si>
  <si>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</si>
  <si>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</si>
  <si>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</si>
  <si>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</si>
  <si>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</si>
  <si>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</si>
  <si>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</si>
  <si>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</si>
  <si>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</si>
  <si>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</si>
  <si>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</si>
  <si>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</si>
  <si>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</si>
  <si>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</si>
  <si>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</si>
  <si>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</si>
  <si>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</si>
  <si>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</si>
  <si>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</si>
  <si>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</si>
  <si>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</si>
  <si>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</si>
  <si>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</si>
  <si>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</si>
  <si>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</si>
  <si>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</si>
  <si>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</si>
  <si>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</si>
  <si>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</si>
  <si>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</si>
  <si>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</si>
  <si>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</si>
  <si>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</si>
  <si>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</si>
  <si>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</si>
  <si>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</si>
  <si>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</si>
  <si>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</si>
  <si>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</si>
  <si>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</si>
  <si>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</si>
  <si>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</si>
  <si>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</si>
  <si>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</si>
  <si>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</si>
  <si>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</si>
  <si>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</si>
  <si>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</si>
  <si>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</si>
  <si>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</si>
  <si>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</si>
  <si>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</si>
  <si>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</si>
  <si>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</si>
  <si>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</si>
  <si>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</si>
  <si>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</si>
  <si>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</si>
  <si>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</si>
  <si>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</si>
  <si>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</si>
  <si>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</si>
  <si>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</si>
  <si>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</si>
  <si>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</si>
  <si>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</si>
  <si>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</si>
  <si>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</si>
  <si>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</si>
  <si>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</si>
  <si>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</si>
  <si>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</si>
  <si>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</si>
  <si>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</si>
  <si>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</si>
  <si>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</si>
  <si>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</si>
  <si>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</si>
  <si>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</si>
  <si>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</si>
  <si>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</si>
  <si>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</si>
  <si>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</si>
  <si>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</si>
  <si>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</si>
  <si>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</si>
  <si>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</si>
  <si>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</si>
  <si>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</si>
  <si>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</si>
  <si>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</si>
  <si>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</si>
  <si>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</si>
  <si>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</si>
  <si>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</si>
  <si>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</si>
  <si>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</si>
  <si>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</si>
  <si>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</si>
  <si>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</si>
  <si>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</si>
  <si>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</si>
  <si>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</si>
  <si>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</si>
  <si>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</si>
  <si>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</si>
  <si>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</si>
  <si>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</si>
  <si>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</si>
  <si>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</si>
  <si>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</si>
  <si>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</si>
  <si>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</si>
  <si>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</si>
  <si>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</si>
  <si>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</si>
  <si>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</si>
  <si>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</si>
  <si>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</si>
  <si>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</si>
  <si>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</si>
  <si>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</si>
  <si>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</si>
  <si>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</si>
  <si>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</si>
  <si>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</si>
  <si>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</si>
  <si>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</si>
  <si>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</si>
  <si>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</si>
  <si>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</si>
  <si>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</si>
  <si>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</si>
  <si>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</si>
  <si>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</si>
  <si>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</si>
  <si>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</si>
  <si>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</si>
  <si>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</si>
  <si>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</si>
  <si>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</si>
  <si>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</si>
  <si>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</si>
  <si>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</si>
  <si>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</si>
  <si>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</si>
  <si>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</si>
  <si>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</si>
  <si>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</si>
  <si>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</si>
  <si>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</si>
  <si>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</si>
  <si>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</si>
  <si>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</si>
  <si>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</si>
  <si>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</si>
  <si>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</si>
  <si>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</si>
  <si>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</si>
  <si>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</si>
  <si>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</si>
  <si>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</si>
  <si>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</si>
  <si>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</si>
  <si>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</si>
  <si>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</si>
  <si>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</si>
  <si>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</si>
  <si>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</si>
  <si>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</si>
  <si>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</si>
  <si>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</si>
  <si>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</si>
  <si>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</si>
  <si>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</si>
  <si>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</si>
  <si>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</si>
  <si>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</si>
  <si>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</si>
  <si>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</si>
  <si>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</si>
  <si>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</si>
  <si>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</si>
  <si>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</si>
  <si>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</si>
  <si>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</si>
  <si>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</si>
  <si>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</si>
  <si>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</si>
  <si>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</si>
  <si>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</si>
  <si>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</si>
  <si>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</si>
  <si>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</si>
  <si>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</si>
  <si>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</si>
  <si>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</si>
  <si>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</si>
  <si>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</si>
  <si>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</si>
  <si>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</si>
  <si>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</si>
  <si>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</si>
  <si>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</si>
  <si>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</si>
  <si>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</si>
  <si>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</si>
  <si>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</si>
  <si>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</si>
  <si>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</si>
  <si>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</si>
  <si>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</si>
  <si>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</si>
  <si>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</si>
  <si>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</si>
  <si>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</si>
  <si>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</si>
  <si>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</si>
  <si>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</si>
  <si>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</si>
  <si>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</si>
  <si>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</si>
  <si>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</si>
  <si>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</si>
  <si>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</si>
  <si>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</si>
  <si>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</si>
  <si>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</si>
  <si>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</si>
  <si>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</si>
  <si>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</si>
  <si>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</si>
  <si>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</si>
  <si>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</si>
  <si>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</si>
  <si>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</si>
  <si>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</si>
  <si>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</si>
  <si>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</si>
  <si>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</si>
  <si>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</si>
  <si>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</si>
  <si>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</si>
  <si>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</si>
  <si>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</si>
  <si>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</si>
  <si>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</si>
  <si>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</si>
  <si>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</si>
  <si>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</si>
  <si>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</si>
  <si>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</si>
  <si>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</si>
  <si>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</si>
  <si>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</si>
  <si>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</si>
  <si>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</si>
  <si>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</si>
  <si>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</si>
  <si>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</si>
  <si>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</si>
  <si>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</si>
  <si>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</si>
  <si>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</si>
  <si>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</si>
  <si>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</si>
  <si>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</si>
  <si>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</si>
  <si>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</si>
  <si>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</si>
  <si>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</si>
  <si>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</si>
  <si>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</si>
  <si>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</si>
  <si>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</si>
  <si>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</si>
  <si>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</si>
  <si>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</si>
  <si>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</si>
  <si>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</si>
  <si>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</si>
  <si>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</si>
  <si>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</si>
  <si>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</si>
  <si>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</si>
  <si>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</si>
  <si>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</si>
  <si>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</si>
  <si>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</si>
  <si>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</si>
  <si>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</si>
  <si>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</si>
  <si>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</si>
  <si>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</si>
  <si>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</si>
  <si>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</si>
  <si>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</si>
  <si>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</si>
  <si>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</si>
  <si>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</si>
  <si>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</si>
  <si>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</si>
  <si>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</si>
  <si>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</si>
  <si>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</si>
  <si>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</si>
  <si>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</si>
  <si>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</si>
  <si>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</si>
  <si>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</si>
  <si>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</si>
  <si>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</si>
  <si>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</si>
  <si>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</si>
  <si>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</si>
  <si>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</si>
  <si>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</si>
  <si>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</si>
  <si>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</si>
  <si>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</si>
  <si>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</si>
  <si>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</si>
  <si>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</si>
  <si>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</si>
  <si>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</si>
  <si>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</si>
  <si>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</si>
  <si>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</si>
  <si>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</si>
  <si>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</si>
  <si>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</si>
  <si>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</si>
  <si>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</si>
  <si>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</si>
  <si>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</si>
  <si>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</si>
  <si>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</si>
  <si>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</si>
  <si>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</si>
  <si>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</si>
  <si>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</si>
  <si>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</si>
  <si>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</si>
  <si>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</si>
  <si>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</si>
  <si>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</si>
  <si>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</si>
  <si>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</si>
  <si>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</si>
  <si>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</si>
  <si>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</si>
  <si>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</si>
  <si>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</si>
  <si>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</si>
  <si>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</si>
  <si>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</si>
  <si>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</si>
  <si>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</si>
  <si>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</si>
  <si>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</si>
  <si>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</si>
  <si>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</si>
  <si>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</si>
  <si>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</si>
  <si>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</si>
  <si>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</si>
  <si>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</si>
  <si>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</si>
  <si>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</si>
  <si>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</si>
  <si>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</si>
  <si>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</si>
  <si>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</si>
  <si>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</si>
  <si>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</si>
  <si>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</si>
  <si>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</si>
  <si>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</si>
  <si>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</si>
  <si>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</si>
  <si>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</si>
  <si>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</si>
  <si>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</si>
  <si>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</si>
  <si>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</si>
  <si>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</si>
  <si>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</si>
  <si>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</si>
  <si>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</si>
  <si>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</si>
  <si>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</si>
  <si>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</si>
  <si>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</si>
  <si>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</si>
  <si>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</si>
  <si>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</si>
  <si>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</si>
  <si>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</si>
  <si>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</si>
  <si>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</si>
  <si>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</si>
  <si>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</si>
  <si>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</si>
  <si>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</si>
  <si>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</si>
  <si>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</si>
  <si>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</si>
  <si>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</si>
  <si>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</si>
  <si>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</si>
  <si>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</si>
  <si>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</si>
  <si>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</si>
  <si>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</si>
  <si>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</si>
  <si>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</si>
  <si>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</si>
  <si>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</si>
  <si>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</si>
  <si>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</si>
  <si>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</si>
  <si>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</si>
  <si>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</si>
  <si>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</si>
  <si>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</si>
  <si>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</si>
  <si>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</si>
  <si>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</si>
  <si>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</si>
  <si>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</si>
  <si>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</si>
  <si>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</si>
  <si>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</si>
  <si>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</si>
  <si>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</si>
  <si>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</si>
  <si>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</si>
  <si>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</si>
  <si>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</si>
  <si>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</si>
  <si>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</si>
  <si>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</si>
  <si>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</si>
  <si>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</si>
  <si>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</si>
  <si>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</si>
  <si>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</si>
  <si>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</si>
  <si>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</si>
  <si>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</si>
  <si>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</si>
  <si>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</si>
  <si>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</si>
  <si>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</si>
  <si>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</si>
  <si>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</si>
  <si>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</si>
  <si>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</si>
  <si>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</si>
  <si>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</si>
  <si>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</si>
  <si>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</si>
  <si>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</si>
  <si>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</si>
  <si>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</si>
  <si>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</si>
  <si>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</si>
  <si>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</si>
  <si>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</si>
  <si>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</si>
  <si>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</si>
  <si>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</si>
  <si>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</si>
  <si>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</si>
  <si>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</si>
  <si>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</si>
  <si>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</si>
  <si>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</si>
  <si>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</si>
  <si>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</si>
  <si>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</si>
  <si>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</si>
  <si>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</si>
  <si>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</si>
  <si>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</si>
  <si>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</si>
  <si>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</si>
  <si>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</si>
  <si>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</si>
  <si>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</si>
  <si>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</si>
  <si>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</si>
  <si>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</si>
  <si>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</si>
  <si>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</si>
  <si>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</si>
  <si>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</si>
  <si>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</si>
  <si>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</si>
  <si>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</si>
  <si>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</si>
  <si>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</si>
  <si>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</si>
  <si>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</si>
  <si>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</si>
  <si>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</si>
  <si>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</si>
  <si>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</si>
  <si>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</si>
  <si>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</si>
  <si>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</si>
  <si>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</si>
  <si>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</si>
  <si>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</si>
  <si>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</si>
  <si>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</si>
  <si>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</si>
  <si>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</si>
  <si>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</si>
  <si>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</si>
  <si>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</si>
  <si>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</si>
  <si>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</si>
  <si>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</si>
  <si>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</si>
  <si>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</si>
  <si>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</si>
  <si>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</si>
  <si>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</si>
  <si>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</si>
  <si>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</si>
  <si>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</si>
  <si>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</si>
  <si>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</si>
  <si>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</si>
  <si>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</si>
  <si>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</si>
  <si>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</si>
  <si>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</si>
  <si>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</si>
  <si>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</si>
  <si>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</si>
  <si>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</si>
  <si>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</si>
  <si>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</si>
  <si>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</si>
  <si>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</si>
  <si>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</si>
  <si>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</si>
  <si>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</si>
  <si>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</si>
  <si>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</si>
  <si>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</si>
  <si>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</si>
  <si>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</si>
  <si>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</si>
  <si>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</si>
  <si>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</si>
  <si>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</si>
  <si>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</si>
  <si>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</si>
  <si>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</si>
  <si>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</si>
  <si>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</si>
  <si>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</si>
  <si>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</si>
  <si>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</si>
  <si>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</si>
  <si>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</si>
  <si>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</si>
  <si>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</si>
  <si>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</si>
  <si>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</si>
  <si>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</si>
  <si>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</si>
  <si>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</si>
  <si>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</si>
  <si>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</si>
  <si>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</si>
  <si>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</si>
  <si>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</si>
  <si>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</si>
  <si>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</si>
  <si>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</si>
  <si>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</si>
  <si>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</si>
  <si>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</si>
  <si>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</si>
  <si>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</si>
  <si>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</si>
  <si>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</si>
  <si>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</si>
  <si>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</si>
  <si>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</si>
  <si>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</si>
  <si>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</si>
  <si>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</si>
  <si>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</si>
  <si>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</si>
  <si>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</si>
  <si>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</si>
  <si>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</si>
  <si>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</si>
  <si>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</si>
  <si>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</si>
  <si>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</si>
  <si>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</si>
  <si>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</si>
  <si>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</si>
  <si>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</si>
  <si>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</si>
  <si>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</si>
  <si>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</si>
  <si>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</si>
  <si>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</si>
  <si>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</si>
  <si>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</si>
  <si>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</si>
  <si>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</si>
  <si>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</si>
  <si>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</si>
  <si>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</si>
  <si>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</si>
  <si>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</si>
  <si>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</si>
  <si>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</si>
  <si>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</si>
  <si>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</si>
  <si>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</si>
  <si>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</si>
  <si>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</si>
  <si>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</si>
  <si>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</si>
  <si>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</si>
  <si>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</si>
  <si>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</si>
  <si>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</si>
  <si>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</si>
  <si>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</si>
  <si>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</si>
  <si>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</si>
  <si>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</si>
  <si>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</si>
  <si>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</si>
  <si>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</si>
  <si>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</si>
  <si>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</si>
  <si>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</si>
  <si>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</si>
  <si>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</si>
  <si>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</si>
  <si>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</si>
  <si>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</si>
  <si>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</si>
  <si>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</si>
  <si>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</si>
  <si>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</si>
  <si>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</si>
  <si>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</si>
  <si>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</si>
  <si>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</si>
  <si>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</si>
  <si>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</si>
  <si>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</si>
  <si>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</si>
  <si>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</si>
  <si>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</si>
  <si>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</si>
  <si>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</si>
  <si>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</si>
  <si>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</si>
  <si>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</si>
  <si>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</si>
  <si>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</si>
  <si>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</si>
  <si>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</si>
  <si>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</si>
  <si>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</si>
  <si>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</si>
  <si>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</si>
  <si>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</si>
  <si>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</si>
  <si>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</si>
  <si>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</si>
  <si>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</si>
  <si>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</si>
  <si>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</si>
  <si>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</si>
  <si>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</si>
  <si>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</si>
  <si>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</si>
  <si>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</si>
  <si>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</si>
  <si>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</si>
  <si>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</si>
  <si>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</si>
  <si>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</si>
  <si>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</si>
  <si>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</si>
  <si>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</si>
  <si>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</si>
  <si>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</si>
  <si>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</si>
  <si>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</si>
  <si>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</si>
  <si>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</si>
  <si>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</si>
  <si>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</si>
  <si>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</si>
  <si>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</si>
  <si>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</si>
  <si>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</si>
  <si>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</si>
  <si>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</si>
  <si>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</si>
  <si>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</si>
  <si>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</si>
  <si>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</si>
  <si>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</si>
  <si>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</si>
  <si>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</si>
  <si>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</si>
  <si>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</si>
  <si>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</si>
  <si>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</si>
  <si>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</si>
  <si>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</si>
  <si>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</si>
  <si>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</si>
  <si>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</si>
  <si>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</si>
  <si>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</si>
  <si>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</si>
  <si>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</si>
  <si>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</si>
  <si>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</si>
  <si>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</si>
  <si>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</si>
  <si>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</si>
  <si>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</si>
  <si>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</si>
  <si>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</si>
  <si>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</si>
  <si>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</si>
  <si>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</si>
  <si>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</si>
  <si>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</si>
  <si>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</si>
  <si>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</si>
  <si>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</si>
  <si>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</si>
  <si>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</si>
  <si>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</si>
  <si>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</si>
  <si>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</si>
  <si>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</si>
  <si>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</si>
  <si>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</si>
  <si>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</si>
  <si>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</si>
  <si>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</si>
  <si>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</si>
  <si>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</si>
  <si>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</si>
  <si>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</si>
  <si>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</si>
  <si>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</si>
  <si>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</si>
  <si>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</si>
  <si>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</si>
  <si>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</si>
  <si>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</si>
  <si>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</si>
  <si>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</si>
  <si>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</si>
  <si>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</si>
  <si>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</si>
  <si>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</si>
  <si>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</si>
  <si>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</si>
  <si>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</si>
  <si>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</si>
  <si>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</si>
  <si>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</si>
  <si>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</si>
  <si>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</si>
  <si>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</si>
  <si>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</si>
  <si>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</si>
  <si>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</si>
  <si>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</si>
  <si>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</si>
  <si>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</si>
  <si>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</si>
  <si>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</si>
  <si>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</si>
  <si>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</si>
  <si>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</si>
  <si>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</si>
  <si>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</si>
  <si>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</si>
  <si>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</si>
  <si>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</si>
  <si>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</si>
  <si>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</si>
  <si>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</si>
  <si>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</si>
  <si>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</si>
  <si>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</si>
  <si>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</si>
  <si>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</si>
  <si>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</si>
  <si>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</si>
  <si>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</si>
  <si>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</si>
  <si>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</si>
  <si>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</si>
  <si>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</si>
  <si>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</si>
  <si>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</si>
  <si>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</si>
  <si>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</si>
  <si>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</si>
  <si>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</si>
  <si>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</si>
  <si>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</si>
  <si>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</si>
  <si>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</si>
  <si>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</si>
  <si>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</si>
  <si>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</si>
  <si>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</si>
  <si>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</si>
  <si>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</si>
  <si>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</si>
  <si>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</si>
  <si>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</si>
  <si>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</si>
  <si>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</si>
  <si>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</si>
  <si>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</si>
  <si>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</si>
  <si>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</si>
  <si>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</si>
  <si>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</si>
  <si>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</si>
  <si>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</si>
  <si>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</si>
  <si>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</si>
  <si>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</si>
  <si>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</si>
  <si>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</si>
  <si>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</si>
  <si>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</si>
  <si>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</si>
  <si>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</si>
  <si>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</si>
  <si>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</si>
  <si>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</si>
  <si>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</si>
  <si>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</si>
  <si>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</si>
  <si>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</si>
  <si>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</si>
  <si>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</si>
  <si>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</si>
  <si>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</si>
  <si>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</si>
  <si>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</si>
  <si>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</si>
  <si>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</si>
  <si>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</si>
  <si>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</si>
  <si>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</si>
  <si>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</si>
  <si>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</si>
  <si>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</si>
  <si>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</si>
  <si>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</si>
  <si>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</si>
  <si>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</si>
  <si>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</si>
  <si>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</si>
  <si>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</si>
  <si>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</si>
  <si>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</si>
  <si>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</si>
  <si>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</si>
  <si>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</si>
  <si>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</si>
  <si>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</si>
  <si>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</si>
  <si>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</si>
  <si>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</si>
  <si>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</si>
  <si>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</si>
  <si>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</si>
  <si>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</si>
  <si>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</si>
  <si>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</si>
  <si>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</si>
  <si>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</si>
  <si>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</si>
  <si>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</si>
  <si>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</si>
  <si>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</si>
  <si>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</si>
  <si>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</si>
  <si>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</si>
  <si>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</si>
  <si>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</si>
  <si>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</si>
  <si>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</si>
  <si>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</si>
  <si>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</si>
  <si>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</si>
  <si>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</si>
  <si>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</si>
  <si>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</si>
  <si>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</si>
  <si>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</si>
  <si>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</si>
  <si>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</si>
  <si>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</si>
  <si>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</si>
  <si>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</si>
  <si>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</si>
  <si>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</si>
  <si>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</si>
  <si>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</si>
  <si>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</si>
  <si>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</si>
  <si>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</si>
  <si>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</si>
  <si>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</si>
  <si>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</si>
  <si>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</si>
  <si>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</si>
  <si>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</si>
  <si>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</si>
  <si>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</si>
  <si>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</si>
  <si>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</si>
  <si>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</si>
  <si>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</si>
  <si>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</si>
  <si>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</si>
  <si>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</si>
  <si>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</si>
  <si>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</si>
  <si>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</si>
  <si>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</si>
  <si>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</si>
  <si>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</si>
  <si>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</si>
  <si>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</si>
  <si>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</si>
  <si>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</si>
  <si>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</si>
  <si>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</si>
  <si>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</si>
  <si>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</si>
  <si>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</si>
  <si>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</si>
  <si>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</si>
  <si>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</si>
  <si>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</si>
  <si>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</si>
  <si>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</si>
  <si>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</si>
  <si>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</si>
  <si>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</si>
  <si>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</si>
  <si>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</si>
  <si>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</si>
  <si>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</si>
  <si>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</si>
  <si>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</si>
  <si>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</si>
  <si>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</si>
  <si>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</si>
  <si>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</si>
  <si>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</si>
  <si>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</si>
  <si>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</si>
  <si>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</si>
  <si>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</si>
  <si>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</si>
  <si>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</si>
  <si>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</si>
  <si>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</si>
  <si>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</si>
  <si>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</si>
  <si>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</si>
  <si>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</si>
  <si>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</si>
  <si>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</si>
  <si>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</si>
  <si>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</si>
  <si>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</si>
  <si>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</si>
  <si>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</si>
  <si>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</si>
  <si>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</si>
  <si>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</si>
  <si>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</si>
  <si>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</si>
  <si>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</si>
  <si>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</si>
  <si>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</si>
  <si>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</si>
  <si>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</si>
  <si>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</si>
  <si>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</si>
  <si>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</si>
  <si>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</si>
  <si>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</si>
  <si>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</si>
  <si>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</si>
  <si>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</si>
  <si>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</si>
  <si>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</si>
  <si>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</si>
  <si>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</si>
  <si>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</si>
  <si>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</si>
  <si>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</si>
  <si>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</si>
  <si>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</si>
  <si>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</si>
  <si>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</si>
  <si>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</si>
  <si>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</si>
  <si>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</si>
  <si>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</si>
  <si>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</si>
  <si>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</si>
  <si>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</si>
  <si>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</si>
  <si>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</si>
  <si>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</si>
  <si>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</si>
  <si>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</si>
  <si>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</si>
  <si>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</si>
  <si>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</si>
  <si>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</si>
  <si>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</si>
  <si>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</si>
  <si>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</si>
  <si>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</si>
  <si>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</si>
  <si>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</si>
  <si>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</si>
  <si>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</si>
  <si>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</si>
  <si>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</si>
  <si>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</si>
  <si>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</si>
  <si>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</si>
  <si>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</si>
  <si>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</si>
  <si>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</si>
  <si>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</si>
  <si>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</si>
  <si>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</si>
  <si>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</si>
  <si>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</si>
  <si>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</si>
  <si>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</si>
  <si>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</si>
  <si>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</si>
  <si>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</si>
  <si>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</si>
  <si>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</si>
  <si>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</si>
  <si>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</si>
  <si>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</si>
  <si>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</si>
  <si>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</si>
  <si>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</si>
  <si>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</si>
  <si>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</si>
  <si>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</si>
  <si>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</si>
  <si>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</si>
  <si>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</si>
  <si>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</si>
  <si>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</si>
  <si>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</si>
  <si>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</si>
  <si>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</si>
  <si>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</si>
  <si>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</si>
  <si>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</si>
  <si>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</si>
  <si>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</si>
  <si>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</si>
  <si>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</si>
  <si>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</si>
  <si>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</si>
  <si>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</si>
  <si>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</si>
  <si>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</si>
  <si>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</si>
  <si>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</si>
  <si>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</si>
  <si>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</si>
  <si>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</si>
  <si>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</si>
  <si>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</si>
  <si>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</si>
  <si>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</si>
  <si>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</si>
  <si>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</si>
  <si>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</si>
  <si>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</si>
  <si>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</si>
  <si>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</si>
  <si>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</si>
  <si>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</si>
  <si>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</si>
  <si>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</si>
  <si>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</si>
  <si>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</si>
  <si>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</si>
  <si>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</si>
  <si>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</si>
  <si>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</si>
  <si>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</si>
  <si>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</si>
  <si>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</si>
  <si>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</si>
  <si>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</si>
  <si>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</si>
  <si>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</si>
  <si>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</si>
  <si>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</si>
  <si>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</si>
  <si>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</si>
  <si>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</si>
  <si>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</si>
  <si>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</si>
  <si>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</si>
  <si>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</si>
  <si>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</si>
  <si>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</si>
  <si>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</si>
  <si>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</si>
  <si>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</si>
  <si>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</si>
  <si>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</si>
  <si>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</si>
  <si>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</si>
  <si>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</si>
  <si>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</si>
  <si>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</si>
  <si>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</si>
  <si>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</si>
  <si>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</si>
  <si>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</si>
  <si>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</si>
  <si>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</si>
  <si>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</si>
  <si>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</si>
  <si>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</si>
  <si>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</si>
  <si>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</si>
  <si>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</si>
  <si>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</si>
  <si>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</si>
  <si>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</si>
  <si>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</si>
  <si>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</si>
  <si>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</si>
  <si>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</si>
  <si>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</si>
  <si>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</si>
  <si>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</si>
  <si>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</si>
  <si>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</si>
  <si>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</si>
  <si>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</si>
  <si>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</si>
  <si>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</si>
  <si>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</si>
  <si>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</si>
  <si>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</si>
  <si>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</si>
  <si>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</si>
  <si>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</si>
  <si>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</si>
  <si>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</si>
  <si>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</si>
  <si>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</si>
  <si>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</si>
  <si>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</si>
  <si>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</si>
  <si>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</si>
  <si>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</si>
  <si>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</si>
  <si>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</si>
  <si>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</si>
  <si>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</si>
  <si>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</si>
  <si>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</si>
  <si>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</si>
  <si>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</si>
  <si>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</si>
  <si>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</si>
  <si>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</si>
  <si>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</si>
  <si>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</si>
  <si>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</si>
  <si>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</si>
  <si>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</si>
  <si>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</si>
  <si>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</si>
  <si>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</si>
  <si>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</si>
  <si>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</si>
  <si>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</si>
  <si>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</si>
  <si>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</si>
  <si>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</si>
  <si>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</si>
  <si>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</si>
  <si>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</si>
  <si>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</si>
  <si>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</si>
  <si>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</si>
  <si>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</si>
  <si>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</si>
  <si>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</si>
  <si>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</si>
  <si>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</si>
  <si>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</si>
  <si>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</si>
  <si>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</si>
  <si>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</si>
  <si>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</si>
  <si>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</si>
  <si>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</si>
  <si>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</si>
  <si>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</si>
  <si>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</si>
  <si>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</si>
  <si>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</si>
  <si>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</si>
  <si>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</si>
  <si>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</si>
  <si>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</si>
  <si>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</si>
  <si>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</si>
  <si>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</si>
  <si>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</si>
  <si>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</si>
  <si>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</si>
  <si>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</si>
  <si>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</si>
  <si>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</si>
  <si>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</si>
  <si>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</si>
  <si>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</si>
  <si>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</si>
  <si>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</si>
  <si>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</si>
  <si>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</si>
  <si>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</si>
  <si>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</si>
  <si>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</si>
  <si>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</si>
  <si>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</si>
  <si>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</si>
  <si>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</si>
  <si>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</si>
  <si>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</si>
  <si>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</si>
  <si>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</si>
  <si>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</si>
  <si>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</si>
  <si>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</si>
  <si>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</si>
  <si>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</si>
  <si>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</si>
  <si>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</si>
  <si>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</si>
  <si>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</si>
  <si>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</si>
  <si>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</si>
  <si>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</si>
  <si>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</si>
  <si>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</si>
  <si>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</si>
  <si>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</si>
  <si>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</si>
  <si>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</si>
  <si>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</si>
  <si>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</si>
  <si>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</si>
  <si>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</si>
  <si>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</si>
  <si>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</si>
  <si>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</si>
  <si>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</si>
  <si>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</si>
  <si>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</si>
  <si>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</si>
  <si>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</si>
  <si>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</si>
  <si>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</si>
  <si>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</si>
  <si>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</si>
  <si>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</si>
  <si>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</si>
  <si>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</si>
  <si>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</si>
  <si>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</si>
  <si>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</si>
  <si>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</si>
  <si>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</si>
  <si>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</si>
  <si>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</si>
  <si>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</si>
  <si>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</si>
  <si>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</si>
  <si>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</si>
  <si>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</si>
  <si>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</si>
  <si>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</si>
  <si>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</si>
  <si>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</si>
  <si>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</si>
  <si>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</si>
  <si>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</si>
  <si>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</si>
  <si>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</si>
  <si>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</si>
  <si>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</si>
  <si>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</si>
  <si>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</si>
  <si>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</si>
  <si>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</si>
  <si>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</si>
  <si>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</si>
  <si>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</si>
  <si>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</si>
  <si>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</si>
  <si>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</si>
  <si>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</si>
  <si>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</si>
  <si>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</si>
  <si>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</si>
  <si>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</si>
  <si>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</si>
  <si>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</si>
  <si>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</si>
  <si>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</si>
  <si>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</si>
  <si>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</si>
  <si>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</si>
  <si>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</si>
  <si>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</si>
  <si>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</si>
  <si>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</si>
  <si>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</si>
  <si>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</si>
  <si>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</si>
  <si>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</si>
  <si>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</si>
  <si>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</si>
  <si>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</si>
  <si>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</si>
  <si>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</si>
  <si>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</si>
  <si>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</si>
  <si>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</si>
  <si>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</si>
  <si>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</si>
  <si>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</si>
  <si>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</si>
  <si>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</si>
  <si>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</si>
  <si>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</si>
  <si>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</si>
  <si>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</si>
  <si>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</si>
  <si>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</si>
  <si>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</si>
  <si>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</si>
  <si>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</si>
  <si>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</si>
  <si>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</si>
  <si>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</si>
  <si>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</si>
  <si>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</si>
  <si>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</si>
  <si>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</si>
  <si>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</si>
  <si>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</si>
  <si>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</si>
  <si>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</si>
  <si>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</si>
  <si>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</si>
  <si>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</si>
  <si>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</si>
  <si>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</si>
  <si>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</si>
  <si>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</si>
  <si>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</si>
  <si>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</si>
  <si>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</si>
  <si>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</si>
  <si>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</si>
  <si>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</si>
  <si>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</si>
  <si>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</si>
  <si>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</si>
  <si>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</si>
  <si>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</si>
  <si>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</si>
  <si>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</si>
  <si>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</si>
  <si>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</si>
  <si>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</si>
  <si>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</si>
  <si>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</si>
  <si>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</si>
  <si>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</si>
  <si>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</si>
  <si>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</si>
  <si>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</si>
  <si>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</si>
  <si>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</si>
  <si>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</si>
  <si>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</si>
  <si>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</si>
  <si>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</si>
  <si>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</si>
  <si>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</si>
  <si>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</si>
  <si>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</si>
  <si>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</si>
  <si>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</si>
  <si>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</si>
  <si>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</si>
  <si>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</si>
  <si>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</si>
  <si>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</si>
  <si>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</si>
  <si>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</si>
  <si>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</si>
  <si>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</si>
  <si>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</si>
  <si>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</si>
  <si>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</si>
  <si>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</si>
  <si>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</si>
  <si>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</si>
  <si>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</si>
  <si>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</si>
  <si>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</si>
  <si>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</si>
  <si>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</si>
  <si>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</si>
  <si>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</si>
  <si>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</si>
  <si>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</si>
  <si>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</si>
  <si>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</si>
  <si>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</si>
  <si>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</si>
  <si>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</si>
  <si>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</si>
  <si>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</si>
  <si>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</si>
  <si>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</si>
  <si>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</si>
  <si>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</si>
  <si>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</si>
  <si>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</si>
  <si>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</si>
  <si>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</si>
  <si>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</si>
  <si>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</si>
  <si>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</si>
  <si>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</si>
  <si>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</si>
  <si>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</si>
  <si>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</si>
  <si>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</si>
  <si>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</si>
  <si>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</si>
  <si>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</si>
  <si>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</si>
  <si>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</si>
  <si>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</si>
  <si>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</si>
  <si>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</si>
  <si>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</si>
  <si>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</si>
  <si>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</si>
  <si>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</si>
  <si>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</si>
  <si>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</si>
  <si>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</si>
  <si>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</si>
  <si>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</si>
  <si>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</si>
  <si>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</si>
  <si>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</si>
  <si>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</si>
  <si>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</si>
  <si>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</si>
  <si>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</si>
  <si>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</si>
  <si>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</si>
  <si>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</si>
  <si>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</si>
  <si>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</si>
  <si>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</si>
  <si>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</si>
  <si>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</si>
  <si>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</si>
  <si>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</si>
  <si>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</si>
  <si>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</si>
  <si>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</si>
  <si>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</si>
  <si>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</si>
  <si>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</si>
  <si>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</si>
  <si>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</si>
  <si>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</si>
  <si>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</si>
  <si>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</si>
  <si>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</si>
  <si>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</si>
  <si>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</si>
  <si>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</si>
  <si>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</si>
  <si>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</si>
  <si>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</si>
  <si>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</si>
  <si>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</si>
  <si>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</si>
  <si>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</si>
  <si>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</si>
  <si>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</si>
  <si>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</si>
  <si>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</si>
  <si>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</si>
  <si>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</si>
  <si>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</si>
  <si>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</si>
  <si>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</si>
  <si>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</si>
  <si>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</si>
  <si>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</si>
  <si>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</si>
  <si>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</si>
  <si>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</si>
  <si>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</si>
  <si>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</si>
  <si>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</si>
  <si>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</si>
  <si>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</si>
  <si>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</si>
  <si>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</si>
  <si>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</si>
  <si>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</si>
  <si>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</si>
  <si>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</si>
  <si>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</si>
  <si>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</si>
  <si>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</si>
  <si>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</si>
  <si>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</si>
  <si>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</si>
  <si>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</si>
  <si>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</si>
  <si>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</si>
  <si>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</si>
  <si>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</si>
  <si>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</si>
  <si>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</si>
  <si>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</si>
  <si>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</si>
  <si>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</si>
  <si>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</si>
  <si>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</si>
  <si>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</si>
  <si>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</si>
  <si>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</si>
  <si>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</si>
  <si>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</si>
  <si>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</si>
  <si>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</si>
  <si>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</si>
  <si>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</si>
  <si>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</si>
  <si>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</si>
  <si>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</si>
  <si>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</si>
  <si>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</si>
  <si>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</si>
  <si>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</si>
  <si>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</si>
  <si>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</si>
  <si>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</si>
  <si>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</si>
  <si>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</si>
  <si>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</si>
  <si>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</si>
  <si>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</si>
  <si>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</si>
  <si>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</si>
  <si>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</si>
  <si>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</si>
  <si>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</si>
  <si>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</si>
  <si>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</si>
  <si>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</si>
  <si>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</si>
  <si>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</si>
  <si>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</si>
  <si>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</si>
  <si>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</si>
  <si>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</si>
  <si>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</si>
  <si>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</si>
  <si>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</si>
  <si>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</si>
  <si>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</si>
  <si>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</si>
  <si>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</si>
  <si>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</si>
  <si>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</si>
  <si>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</si>
  <si>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</si>
  <si>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</si>
  <si>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</si>
  <si>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</si>
  <si>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</si>
  <si>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</si>
  <si>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</si>
  <si>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</si>
  <si>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</si>
  <si>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</si>
  <si>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</si>
  <si>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</si>
  <si>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</si>
  <si>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</si>
  <si>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</si>
  <si>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</si>
  <si>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</si>
  <si>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</si>
  <si>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</si>
  <si>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</si>
  <si>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</si>
  <si>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</si>
  <si>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</si>
  <si>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</si>
  <si>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</si>
  <si>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</si>
  <si>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</si>
  <si>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</si>
  <si>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</si>
  <si>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</si>
  <si>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</si>
  <si>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</si>
  <si>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</si>
  <si>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</si>
  <si>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</si>
  <si>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</si>
  <si>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</si>
  <si>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</si>
  <si>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</si>
  <si>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</si>
  <si>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</si>
  <si>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</si>
  <si>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</si>
  <si>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</si>
  <si>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</si>
  <si>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</si>
  <si>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</si>
  <si>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</si>
  <si>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</si>
  <si>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</si>
  <si>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</si>
  <si>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</si>
  <si>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</si>
  <si>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</si>
  <si>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</si>
  <si>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</si>
  <si>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</si>
  <si>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</si>
  <si>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</si>
  <si>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</si>
  <si>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</si>
  <si>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</si>
  <si>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</si>
  <si>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</si>
  <si>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</si>
  <si>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</si>
  <si>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</si>
  <si>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</si>
  <si>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</si>
  <si>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</si>
  <si>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</si>
  <si>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</si>
  <si>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</si>
  <si>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</si>
  <si>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</si>
  <si>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</si>
  <si>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</si>
  <si>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</si>
  <si>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</si>
  <si>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</si>
  <si>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</si>
  <si>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</si>
  <si>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</si>
  <si>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</si>
  <si>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</si>
  <si>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</si>
  <si>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</si>
  <si>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</si>
  <si>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</si>
  <si>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</si>
  <si>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</si>
  <si>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</si>
  <si>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</si>
  <si>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</si>
  <si>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</si>
  <si>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</si>
  <si>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</si>
  <si>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</si>
  <si>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</si>
  <si>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</si>
  <si>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</si>
  <si>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</si>
  <si>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</si>
  <si>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</si>
  <si>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</si>
  <si>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</si>
  <si>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</si>
  <si>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</si>
  <si>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</si>
  <si>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</si>
  <si>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</si>
  <si>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</si>
  <si>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</si>
  <si>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</si>
  <si>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</si>
  <si>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</si>
  <si>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</si>
  <si>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</si>
  <si>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</si>
  <si>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</si>
  <si>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</si>
  <si>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</si>
  <si>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</si>
  <si>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</si>
  <si>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</si>
  <si>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</si>
  <si>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</si>
  <si>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</si>
  <si>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</si>
  <si>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</si>
  <si>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</si>
  <si>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</si>
  <si>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</si>
  <si>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</si>
  <si>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</si>
  <si>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</si>
  <si>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</si>
  <si>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</si>
  <si>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</si>
  <si>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</si>
  <si>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</si>
  <si>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</si>
  <si>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</si>
  <si>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</si>
  <si>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</si>
  <si>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</si>
  <si>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</si>
  <si>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</si>
  <si>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</si>
  <si>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</si>
  <si>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</si>
  <si>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</si>
  <si>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</si>
  <si>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</si>
  <si>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</si>
  <si>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</si>
  <si>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</si>
  <si>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</si>
  <si>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</si>
  <si>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</si>
  <si>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</si>
  <si>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</si>
  <si>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</si>
  <si>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</si>
  <si>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</si>
  <si>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</si>
  <si>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</si>
  <si>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</si>
  <si>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</si>
  <si>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</si>
  <si>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</si>
  <si>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</si>
  <si>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</si>
  <si>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</si>
  <si>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</si>
  <si>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</si>
  <si>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</si>
  <si>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</si>
  <si>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</si>
  <si>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</si>
  <si>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</si>
  <si>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</si>
  <si>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</si>
  <si>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</si>
  <si>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</si>
  <si>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</si>
  <si>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</si>
  <si>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</si>
  <si>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</si>
  <si>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</si>
  <si>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</si>
  <si>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</si>
  <si>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</si>
  <si>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</si>
  <si>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</si>
  <si>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</si>
  <si>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</si>
  <si>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</si>
  <si>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</si>
  <si>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</si>
  <si>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</si>
  <si>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</si>
  <si>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</si>
  <si>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</si>
  <si>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</si>
  <si>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</si>
  <si>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</si>
  <si>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</si>
  <si>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</si>
  <si>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</si>
  <si>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</si>
  <si>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</si>
  <si>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</si>
  <si>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</si>
  <si>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</si>
  <si>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</si>
  <si>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</si>
  <si>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</si>
  <si>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</si>
  <si>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</si>
  <si>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</si>
  <si>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</si>
  <si>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</si>
  <si>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</si>
  <si>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</si>
  <si>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</si>
  <si>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</si>
  <si>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</si>
  <si>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</si>
  <si>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</si>
  <si>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</si>
  <si>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</si>
  <si>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</si>
  <si>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</si>
  <si>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</si>
  <si>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</si>
  <si>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</si>
  <si>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</si>
  <si>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</si>
  <si>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</si>
  <si>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</si>
  <si>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</si>
  <si>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</si>
  <si>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</si>
  <si>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</si>
  <si>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</si>
  <si>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</si>
  <si>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</si>
  <si>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</si>
  <si>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</si>
  <si>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</si>
  <si>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</si>
  <si>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</si>
  <si>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</si>
  <si>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</si>
  <si>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</si>
  <si>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</si>
  <si>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</si>
  <si>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</si>
  <si>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</si>
  <si>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</si>
  <si>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</si>
  <si>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</si>
  <si>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</si>
  <si>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</si>
  <si>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</si>
  <si>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</si>
  <si>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</si>
  <si>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</si>
  <si>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</si>
  <si>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</si>
  <si>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</si>
  <si>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</si>
  <si>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</si>
  <si>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</si>
  <si>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</si>
  <si>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</si>
  <si>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</si>
  <si>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</si>
  <si>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</si>
  <si>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</si>
  <si>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</si>
  <si>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</si>
  <si>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</si>
  <si>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</si>
  <si>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</si>
  <si>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</si>
  <si>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</si>
  <si>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</si>
  <si>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</si>
  <si>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</si>
  <si>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</si>
  <si>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</si>
  <si>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</si>
  <si>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</si>
  <si>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</si>
  <si>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</si>
  <si>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</si>
  <si>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</si>
  <si>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</si>
  <si>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</si>
  <si>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</si>
  <si>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</si>
  <si>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</si>
  <si>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</si>
  <si>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</si>
  <si>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</si>
  <si>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</si>
  <si>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</si>
  <si>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</si>
  <si>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</si>
  <si>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</si>
  <si>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</si>
  <si>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</si>
  <si>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</si>
  <si>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</si>
  <si>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</si>
  <si>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</si>
  <si>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</si>
  <si>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</si>
  <si>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</si>
  <si>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</si>
  <si>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</si>
  <si>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</si>
  <si>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</si>
  <si>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</si>
  <si>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</si>
  <si>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</si>
  <si>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</si>
  <si>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</si>
  <si>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</si>
  <si>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</si>
  <si>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</si>
  <si>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</si>
  <si>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</si>
  <si>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</si>
  <si>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</si>
  <si>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</si>
  <si>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</si>
  <si>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</si>
  <si>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</si>
  <si>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</si>
  <si>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</si>
  <si>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</si>
  <si>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</si>
  <si>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</si>
  <si>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</si>
  <si>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</si>
  <si>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</si>
  <si>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</si>
  <si>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</si>
  <si>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</si>
  <si>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</si>
  <si>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</si>
  <si>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</si>
  <si>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</si>
  <si>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</si>
  <si>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</si>
  <si>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</si>
  <si>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</si>
  <si>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</si>
  <si>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</si>
  <si>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</si>
  <si>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</si>
  <si>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</si>
  <si>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</si>
  <si>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</si>
  <si>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</si>
  <si>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</si>
  <si>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</si>
  <si>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</si>
  <si>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</si>
  <si>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</si>
  <si>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</si>
  <si>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</si>
  <si>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</si>
  <si>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</si>
  <si>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</si>
  <si>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</si>
  <si>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</si>
  <si>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</si>
  <si>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</si>
  <si>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</si>
  <si>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</si>
  <si>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</si>
  <si>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</si>
  <si>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</si>
  <si>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</si>
  <si>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</si>
  <si>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</si>
  <si>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</si>
  <si>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</si>
  <si>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</si>
  <si>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</si>
  <si>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</si>
  <si>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</si>
  <si>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</si>
  <si>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</si>
  <si>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</si>
  <si>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</si>
  <si>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</si>
  <si>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</si>
  <si>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</si>
  <si>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</si>
  <si>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</si>
  <si>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</si>
  <si>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</si>
  <si>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</si>
  <si>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</si>
  <si>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</si>
  <si>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</si>
  <si>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</si>
  <si>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</si>
  <si>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</si>
  <si>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</si>
  <si>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</si>
  <si>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</si>
  <si>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</si>
  <si>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</si>
  <si>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</si>
  <si>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</si>
  <si>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</si>
  <si>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</si>
  <si>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</si>
  <si>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</si>
  <si>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</si>
  <si>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</si>
  <si>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</si>
  <si>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</si>
  <si>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</si>
  <si>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</si>
  <si>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</si>
  <si>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</si>
  <si>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</si>
  <si>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</si>
  <si>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</si>
  <si>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</si>
  <si>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</si>
  <si>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</si>
  <si>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</si>
  <si>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</si>
  <si>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</si>
  <si>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</si>
  <si>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</si>
  <si>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</si>
  <si>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</si>
  <si>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</si>
  <si>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</si>
  <si>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</si>
  <si>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</si>
  <si>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</si>
  <si>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</si>
  <si>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</si>
  <si>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</si>
  <si>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</si>
  <si>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</si>
  <si>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</si>
  <si>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</si>
  <si>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</si>
  <si>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</si>
  <si>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</si>
  <si>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</si>
  <si>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</si>
  <si>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</si>
  <si>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</si>
  <si>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</si>
  <si>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</si>
  <si>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</si>
  <si>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</si>
  <si>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</si>
  <si>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</si>
  <si>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</si>
  <si>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</si>
  <si>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</si>
  <si>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</si>
  <si>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</si>
  <si>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</si>
  <si>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</si>
  <si>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</si>
  <si>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</si>
  <si>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</si>
  <si>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</si>
  <si>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</si>
  <si>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</si>
  <si>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</si>
  <si>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</si>
  <si>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</si>
  <si>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</si>
  <si>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</si>
  <si>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</si>
  <si>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</si>
  <si>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</si>
  <si>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</si>
  <si>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</si>
  <si>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</si>
  <si>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</si>
  <si>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</si>
  <si>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</si>
  <si>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</si>
  <si>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</si>
  <si>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</si>
  <si>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</si>
  <si>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</si>
  <si>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</si>
  <si>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</si>
  <si>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</si>
  <si>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</si>
  <si>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</si>
  <si>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</si>
  <si>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</si>
  <si>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</si>
  <si>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</si>
  <si>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</si>
  <si>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</si>
  <si>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</si>
  <si>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</si>
  <si>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</si>
  <si>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</si>
  <si>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</si>
  <si>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</si>
  <si>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</si>
  <si>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</si>
  <si>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</si>
  <si>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</si>
  <si>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</si>
  <si>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</si>
  <si>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</si>
  <si>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</si>
  <si>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</si>
  <si>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</si>
  <si>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</si>
  <si>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</si>
  <si>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</si>
  <si>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</si>
  <si>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</si>
  <si>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</si>
  <si>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</si>
  <si>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</si>
  <si>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小区</t>
  </si>
  <si>
    <t>平米租金(元/㎡·月)</t>
  </si>
  <si>
    <t>国悦府&lt;羊坊店、五棵松&lt;海淀区</t>
  </si>
  <si>
    <t>复兴路乙4号院&lt;羊坊店、五棵松&lt;海淀区</t>
  </si>
  <si>
    <t>铁道部5号院&lt;羊坊店、五棵松&lt;海淀区</t>
  </si>
  <si>
    <t>北蜂窝路15号&lt;羊坊店、五棵松&lt;海淀区</t>
  </si>
  <si>
    <t>翠微路16号院&lt;羊坊店、五棵松&lt;海淀区</t>
  </si>
  <si>
    <t>军博铁道部小区&lt;羊坊店、五棵松&lt;海淀区</t>
  </si>
  <si>
    <t>复兴路乙6号院&lt;羊坊店、五棵松&lt;海淀区</t>
  </si>
  <si>
    <t>北蜂窝103号院&lt;羊坊店、五棵松&lt;海淀区</t>
  </si>
  <si>
    <t>羊坊店17号院&lt;羊坊店、五棵松&lt;海淀区</t>
  </si>
  <si>
    <t>铁西宿舍&lt;羊坊店、五棵松&lt;海淀区</t>
  </si>
  <si>
    <t>翠微路14号院&lt;羊坊店、五棵松&lt;海淀区</t>
  </si>
  <si>
    <t>翠微生活静源居&lt;羊坊店、五棵松&lt;海淀区</t>
  </si>
  <si>
    <t>万寿路18号院&lt;羊坊店、五棵松&lt;海淀区</t>
  </si>
  <si>
    <t>复兴路12号院&lt;羊坊店、五棵松&lt;海淀区</t>
  </si>
  <si>
    <t>北蜂窝66号院&lt;羊坊店、五棵松&lt;海淀区</t>
  </si>
  <si>
    <t>新华社社区&lt;羊坊店、五棵松&lt;海淀区</t>
  </si>
  <si>
    <t>羊坊店16号院&lt;羊坊店、五棵松&lt;海淀区</t>
  </si>
  <si>
    <t>万寿路西街5号院&lt;羊坊店、五棵松&lt;海淀区</t>
  </si>
  <si>
    <t>铁东小区&lt;羊坊店、五棵松&lt;海淀区</t>
  </si>
  <si>
    <t>复兴路61号院&lt;羊坊店、五棵松&lt;海淀区</t>
  </si>
  <si>
    <t>太平路甲20号院&lt;羊坊店、五棵松&lt;海淀区</t>
  </si>
  <si>
    <t>翠微路17号院&lt;羊坊店、五棵松&lt;海淀区</t>
  </si>
  <si>
    <t>北蜂窝30号院&lt;羊坊店、五棵松&lt;海淀区</t>
  </si>
  <si>
    <t>万寿路24号院&lt;羊坊店、五棵松&lt;海淀区</t>
  </si>
  <si>
    <t>会城门小区&lt;羊坊店、五棵松&lt;海淀区</t>
  </si>
  <si>
    <t>万寿路3号楼&lt;羊坊店、五棵松&lt;海淀区</t>
  </si>
  <si>
    <t>翠微南里&lt;羊坊店、五棵松&lt;海淀区</t>
  </si>
  <si>
    <t>普惠南里&lt;羊坊店、五棵松&lt;海淀区</t>
  </si>
  <si>
    <t>信悦华庭&lt;羊坊店、五棵松&lt;海淀区</t>
  </si>
  <si>
    <t>军博电信宿舍&lt;羊坊店、五棵松&lt;海淀区</t>
  </si>
  <si>
    <t>万寿路西街11号院&lt;羊坊店、五棵松&lt;海淀区</t>
  </si>
  <si>
    <t>铁医路1号院&lt;羊坊店、五棵松&lt;海淀区</t>
  </si>
  <si>
    <t>万寿路西街1号院&lt;羊坊店、五棵松&lt;海淀区</t>
  </si>
  <si>
    <t>翠微路2号院&lt;羊坊店、五棵松&lt;海淀区</t>
  </si>
  <si>
    <t>羊坊店居民楼小区&lt;羊坊店、五棵松&lt;海淀区</t>
  </si>
  <si>
    <t>翠微路22号院&lt;羊坊店、五棵松&lt;海淀区</t>
  </si>
  <si>
    <t>复兴路甲49号院&lt;羊坊店、五棵松&lt;海淀区</t>
  </si>
  <si>
    <t>复兴路甲65院&lt;羊坊店、五棵松&lt;海淀区</t>
  </si>
  <si>
    <t>西翠路12号院&lt;羊坊店、五棵松&lt;海淀区</t>
  </si>
  <si>
    <t>翠微路20号院&lt;羊坊店、五棵松&lt;海淀区</t>
  </si>
  <si>
    <t>博望园&lt;羊坊店、五棵松&lt;海淀区</t>
  </si>
  <si>
    <t>复兴路63号院&lt;羊坊店、五棵松&lt;海淀区</t>
  </si>
  <si>
    <t>万寿路26号院&lt;羊坊店、五棵松&lt;海淀区</t>
  </si>
  <si>
    <t>万寿路大件厂宿舍&lt;羊坊店、五棵松&lt;海淀区</t>
  </si>
  <si>
    <t>乔建里小区&lt;羊坊店、五棵松&lt;海淀区</t>
  </si>
  <si>
    <t>北蜂窝中路2号院&lt;羊坊店、五棵松&lt;海淀区</t>
  </si>
  <si>
    <t>万寿园&lt;羊坊店、五棵松&lt;海淀区</t>
  </si>
  <si>
    <t>翠微路甲9号院&lt;羊坊店、五棵松&lt;海淀区</t>
  </si>
  <si>
    <t>万寿路甲6号院&lt;羊坊店、五棵松&lt;海淀区</t>
  </si>
  <si>
    <t>什坊院&lt;羊坊店、五棵松&lt;海淀区</t>
  </si>
  <si>
    <t>万寿路8号院&lt;羊坊店、五棵松&lt;海淀区</t>
  </si>
  <si>
    <t>万寿路12号院&lt;羊坊店、五棵松&lt;海淀区</t>
  </si>
  <si>
    <t>太平路甲21号院&lt;羊坊店、五棵松&lt;海淀区</t>
  </si>
  <si>
    <t>翠微路3号院&lt;羊坊店、五棵松&lt;海淀区</t>
  </si>
  <si>
    <t>海天广场&lt;羊坊店、五棵松&lt;海淀区</t>
  </si>
  <si>
    <t>今日家园&lt;羊坊店、五棵松&lt;海淀区</t>
  </si>
  <si>
    <t>莲花小区&lt;羊坊店、五棵松&lt;海淀区</t>
  </si>
  <si>
    <t>明日家园&lt;羊坊店、五棵松&lt;海淀区</t>
  </si>
  <si>
    <t>北蜂窝中路甲8号院&lt;羊坊店、五棵松&lt;海淀区</t>
    <phoneticPr fontId="134" type="noConversion"/>
  </si>
  <si>
    <t>万寿路西街9号院&lt;羊坊店、五棵松&lt;海淀区</t>
    <phoneticPr fontId="134" type="noConversion"/>
  </si>
  <si>
    <t>羊坊店西路&lt;羊坊店、五棵松&lt;海淀区</t>
    <phoneticPr fontId="134" type="noConversion"/>
  </si>
  <si>
    <t>核定资产</t>
  </si>
  <si>
    <t>北京市</t>
  </si>
  <si>
    <t>正常</t>
  </si>
  <si>
    <t>住宅</t>
  </si>
  <si>
    <t>住宅</t>
    <phoneticPr fontId="24" type="noConversion"/>
  </si>
  <si>
    <t>较好</t>
  </si>
  <si>
    <t>估价对象周边有铁西宿舍、复兴路12号院、会城门小区、电信宿舍、什坊院、羊坊店西路等社区，综合评价居住社区成熟度较好</t>
    <phoneticPr fontId="40" type="noConversion"/>
  </si>
  <si>
    <t>城市支路——羊坊店东路</t>
    <phoneticPr fontId="24" type="noConversion"/>
  </si>
  <si>
    <t>区域自然环境：西护城河、中华世纪坛公园；人文环境；军事博物馆；综合评价环境状况较好</t>
    <phoneticPr fontId="40" type="noConversion"/>
  </si>
  <si>
    <t>估价对象所在区域基础设施水平达七通</t>
    <phoneticPr fontId="24" type="noConversion"/>
  </si>
  <si>
    <t>估价对象所在区域公共配套设施齐备</t>
    <phoneticPr fontId="40" type="noConversion"/>
  </si>
  <si>
    <t>估价对象周边有21路、40路、414路等多条公共线路，距地铁1号线、9号线换乘站（军事博物馆站）约700米，路边可停车，综合评价交通便捷度较好</t>
    <phoneticPr fontId="40" type="noConversion"/>
  </si>
  <si>
    <t>好</t>
  </si>
  <si>
    <t>六通</t>
  </si>
  <si>
    <t>七通</t>
  </si>
  <si>
    <t>砖混</t>
  </si>
  <si>
    <t>砖混</t>
    <phoneticPr fontId="24" type="noConversion"/>
  </si>
  <si>
    <t>简单装修</t>
  </si>
  <si>
    <t>简单装修</t>
    <phoneticPr fontId="24" type="noConversion"/>
  </si>
  <si>
    <t>物业公司管理</t>
  </si>
  <si>
    <t>物业公司管理</t>
    <phoneticPr fontId="24" type="noConversion"/>
  </si>
  <si>
    <t>单位自管</t>
  </si>
  <si>
    <t>单位自管</t>
    <phoneticPr fontId="24" type="noConversion"/>
  </si>
  <si>
    <t>七通</t>
    <phoneticPr fontId="24" type="noConversion"/>
  </si>
  <si>
    <t>六通</t>
    <phoneticPr fontId="24" type="noConversion"/>
  </si>
  <si>
    <t>五通</t>
    <phoneticPr fontId="24" type="noConversion"/>
  </si>
  <si>
    <t>平层</t>
  </si>
  <si>
    <t>平层</t>
    <phoneticPr fontId="24" type="noConversion"/>
  </si>
  <si>
    <t>平房</t>
  </si>
  <si>
    <t>平房</t>
    <phoneticPr fontId="24" type="noConversion"/>
  </si>
  <si>
    <t>板楼</t>
  </si>
  <si>
    <t>板楼</t>
    <phoneticPr fontId="24" type="noConversion"/>
  </si>
  <si>
    <t>塔楼</t>
    <phoneticPr fontId="24" type="noConversion"/>
  </si>
  <si>
    <t>板楼、塔楼</t>
  </si>
  <si>
    <t>板楼、塔楼</t>
    <phoneticPr fontId="24" type="noConversion"/>
  </si>
  <si>
    <t>钢混、砖混</t>
  </si>
  <si>
    <t>钢混、砖混</t>
    <phoneticPr fontId="24" type="noConversion"/>
  </si>
  <si>
    <t>独立卫生间</t>
    <phoneticPr fontId="134" type="noConversion"/>
  </si>
  <si>
    <t>无</t>
    <phoneticPr fontId="134" type="noConversion"/>
  </si>
  <si>
    <t>有</t>
    <phoneticPr fontId="134" type="noConversion"/>
  </si>
  <si>
    <t>独立卫生间</t>
    <phoneticPr fontId="24" type="noConversion"/>
  </si>
  <si>
    <t>有</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</si>
</sst>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xf numFmtId="0" fontId="269" fillId="0" borderId="0" xfId="19"/>
    <xf numFmtId="0" fontId="269" fillId="5" borderId="0" xfId="19" applyFill="1"/>
    <xf numFmtId="0" fontId="269" fillId="0" borderId="0" xfId="19" applyAlignment="1">
      <alignment horizontal="left" vertical="center"/>
    </xf>
    <xf numFmtId="14" fontId="269" fillId="0" borderId="0" xfId="19" applyNumberFormat="1" applyAlignment="1">
      <alignment horizontal="left" vertical="center"/>
    </xf>
    <xf numFmtId="0" fontId="269" fillId="5" borderId="0" xfId="19" applyFill="1" applyAlignment="1">
      <alignment horizontal="left" vertical="center"/>
    </xf>
    <xf numFmtId="0" fontId="269" fillId="0" borderId="0" xfId="19" applyFill="1" applyAlignment="1">
      <alignment horizontal="left" vertical="center"/>
    </xf>
    <xf numFmtId="0" fontId="270" fillId="0" borderId="0" xfId="19" applyFont="1"/>
    <xf numFmtId="0" fontId="269" fillId="15" borderId="0" xfId="19" applyFill="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E7E698C2-17DE-4327-914F-CB08E26D42D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11</xdr:row>
      <xdr:rowOff>142875</xdr:rowOff>
    </xdr:from>
    <xdr:to>
      <xdr:col>25</xdr:col>
      <xdr:colOff>56121</xdr:colOff>
      <xdr:row>34</xdr:row>
      <xdr:rowOff>161402</xdr:rowOff>
    </xdr:to>
    <xdr:pic>
      <xdr:nvPicPr>
        <xdr:cNvPr id="3" name="图片 2">
          <a:extLst>
            <a:ext uri="{FF2B5EF4-FFF2-40B4-BE49-F238E27FC236}">
              <a16:creationId xmlns:a16="http://schemas.microsoft.com/office/drawing/2014/main" id="{F26B7E77-A8E7-49E0-B1A2-43BB8BD75E12}"/>
            </a:ext>
          </a:extLst>
        </xdr:cNvPr>
        <xdr:cNvPicPr>
          <a:picLocks noChangeAspect="1"/>
        </xdr:cNvPicPr>
      </xdr:nvPicPr>
      <xdr:blipFill>
        <a:blip xmlns:r="http://schemas.openxmlformats.org/officeDocument/2006/relationships" r:embed="rId1"/>
        <a:stretch>
          <a:fillRect/>
        </a:stretch>
      </xdr:blipFill>
      <xdr:spPr>
        <a:xfrm>
          <a:off x="12544425" y="2133600"/>
          <a:ext cx="8228571" cy="4180952"/>
        </a:xfrm>
        <a:prstGeom prst="rect">
          <a:avLst/>
        </a:prstGeom>
      </xdr:spPr>
    </xdr:pic>
    <xdr:clientData/>
  </xdr:twoCellAnchor>
  <xdr:twoCellAnchor editAs="oneCell">
    <xdr:from>
      <xdr:col>25</xdr:col>
      <xdr:colOff>76200</xdr:colOff>
      <xdr:row>11</xdr:row>
      <xdr:rowOff>123825</xdr:rowOff>
    </xdr:from>
    <xdr:to>
      <xdr:col>30</xdr:col>
      <xdr:colOff>294783</xdr:colOff>
      <xdr:row>44</xdr:row>
      <xdr:rowOff>75459</xdr:rowOff>
    </xdr:to>
    <xdr:pic>
      <xdr:nvPicPr>
        <xdr:cNvPr id="4" name="图片 3">
          <a:extLst>
            <a:ext uri="{FF2B5EF4-FFF2-40B4-BE49-F238E27FC236}">
              <a16:creationId xmlns:a16="http://schemas.microsoft.com/office/drawing/2014/main" id="{E51BA46E-4082-4A0E-B83B-319E78DFAE8B}"/>
            </a:ext>
          </a:extLst>
        </xdr:cNvPr>
        <xdr:cNvPicPr>
          <a:picLocks noChangeAspect="1"/>
        </xdr:cNvPicPr>
      </xdr:nvPicPr>
      <xdr:blipFill>
        <a:blip xmlns:r="http://schemas.openxmlformats.org/officeDocument/2006/relationships" r:embed="rId2"/>
        <a:stretch>
          <a:fillRect/>
        </a:stretch>
      </xdr:blipFill>
      <xdr:spPr>
        <a:xfrm>
          <a:off x="20793075" y="2114550"/>
          <a:ext cx="3933333" cy="5923809"/>
        </a:xfrm>
        <a:prstGeom prst="rect">
          <a:avLst/>
        </a:prstGeom>
      </xdr:spPr>
    </xdr:pic>
    <xdr:clientData/>
  </xdr:twoCellAnchor>
  <xdr:twoCellAnchor editAs="oneCell">
    <xdr:from>
      <xdr:col>14</xdr:col>
      <xdr:colOff>0</xdr:colOff>
      <xdr:row>52</xdr:row>
      <xdr:rowOff>0</xdr:rowOff>
    </xdr:from>
    <xdr:to>
      <xdr:col>26</xdr:col>
      <xdr:colOff>703648</xdr:colOff>
      <xdr:row>63</xdr:row>
      <xdr:rowOff>142608</xdr:rowOff>
    </xdr:to>
    <xdr:pic>
      <xdr:nvPicPr>
        <xdr:cNvPr id="5" name="图片 4">
          <a:extLst>
            <a:ext uri="{FF2B5EF4-FFF2-40B4-BE49-F238E27FC236}">
              <a16:creationId xmlns:a16="http://schemas.microsoft.com/office/drawing/2014/main" id="{FEA3E1C9-CB35-4C0F-B436-72F70F9C549A}"/>
            </a:ext>
          </a:extLst>
        </xdr:cNvPr>
        <xdr:cNvPicPr>
          <a:picLocks noChangeAspect="1"/>
        </xdr:cNvPicPr>
      </xdr:nvPicPr>
      <xdr:blipFill>
        <a:blip xmlns:r="http://schemas.openxmlformats.org/officeDocument/2006/relationships" r:embed="rId3"/>
        <a:stretch>
          <a:fillRect/>
        </a:stretch>
      </xdr:blipFill>
      <xdr:spPr>
        <a:xfrm>
          <a:off x="12544425" y="9410700"/>
          <a:ext cx="9619048" cy="2133333"/>
        </a:xfrm>
        <a:prstGeom prst="rect">
          <a:avLst/>
        </a:prstGeom>
      </xdr:spPr>
    </xdr:pic>
    <xdr:clientData/>
  </xdr:twoCellAnchor>
  <xdr:twoCellAnchor editAs="oneCell">
    <xdr:from>
      <xdr:col>27</xdr:col>
      <xdr:colOff>0</xdr:colOff>
      <xdr:row>53</xdr:row>
      <xdr:rowOff>0</xdr:rowOff>
    </xdr:from>
    <xdr:to>
      <xdr:col>31</xdr:col>
      <xdr:colOff>380581</xdr:colOff>
      <xdr:row>83</xdr:row>
      <xdr:rowOff>75512</xdr:rowOff>
    </xdr:to>
    <xdr:pic>
      <xdr:nvPicPr>
        <xdr:cNvPr id="6" name="图片 5">
          <a:extLst>
            <a:ext uri="{FF2B5EF4-FFF2-40B4-BE49-F238E27FC236}">
              <a16:creationId xmlns:a16="http://schemas.microsoft.com/office/drawing/2014/main" id="{EDB93427-3290-4229-B9AC-4F14DC11A1E9}"/>
            </a:ext>
          </a:extLst>
        </xdr:cNvPr>
        <xdr:cNvPicPr>
          <a:picLocks noChangeAspect="1"/>
        </xdr:cNvPicPr>
      </xdr:nvPicPr>
      <xdr:blipFill>
        <a:blip xmlns:r="http://schemas.openxmlformats.org/officeDocument/2006/relationships" r:embed="rId4"/>
        <a:stretch>
          <a:fillRect/>
        </a:stretch>
      </xdr:blipFill>
      <xdr:spPr>
        <a:xfrm>
          <a:off x="22202775" y="9591675"/>
          <a:ext cx="3352381" cy="5504762"/>
        </a:xfrm>
        <a:prstGeom prst="rect">
          <a:avLst/>
        </a:prstGeom>
      </xdr:spPr>
    </xdr:pic>
    <xdr:clientData/>
  </xdr:twoCellAnchor>
  <xdr:twoCellAnchor editAs="oneCell">
    <xdr:from>
      <xdr:col>0</xdr:col>
      <xdr:colOff>0</xdr:colOff>
      <xdr:row>64</xdr:row>
      <xdr:rowOff>0</xdr:rowOff>
    </xdr:from>
    <xdr:to>
      <xdr:col>2</xdr:col>
      <xdr:colOff>199546</xdr:colOff>
      <xdr:row>91</xdr:row>
      <xdr:rowOff>18437</xdr:rowOff>
    </xdr:to>
    <xdr:pic>
      <xdr:nvPicPr>
        <xdr:cNvPr id="7" name="图片 6">
          <a:extLst>
            <a:ext uri="{FF2B5EF4-FFF2-40B4-BE49-F238E27FC236}">
              <a16:creationId xmlns:a16="http://schemas.microsoft.com/office/drawing/2014/main" id="{00ACC2DF-05FE-4C90-919E-BEFDCB7A8AFE}"/>
            </a:ext>
          </a:extLst>
        </xdr:cNvPr>
        <xdr:cNvPicPr>
          <a:picLocks noChangeAspect="1"/>
        </xdr:cNvPicPr>
      </xdr:nvPicPr>
      <xdr:blipFill>
        <a:blip xmlns:r="http://schemas.openxmlformats.org/officeDocument/2006/relationships" r:embed="rId5"/>
        <a:stretch>
          <a:fillRect/>
        </a:stretch>
      </xdr:blipFill>
      <xdr:spPr>
        <a:xfrm>
          <a:off x="0" y="11582400"/>
          <a:ext cx="3828571" cy="4904762"/>
        </a:xfrm>
        <a:prstGeom prst="rect">
          <a:avLst/>
        </a:prstGeom>
      </xdr:spPr>
    </xdr:pic>
    <xdr:clientData/>
  </xdr:twoCellAnchor>
  <xdr:twoCellAnchor editAs="oneCell">
    <xdr:from>
      <xdr:col>2</xdr:col>
      <xdr:colOff>142875</xdr:colOff>
      <xdr:row>63</xdr:row>
      <xdr:rowOff>161925</xdr:rowOff>
    </xdr:from>
    <xdr:to>
      <xdr:col>15</xdr:col>
      <xdr:colOff>341668</xdr:colOff>
      <xdr:row>86</xdr:row>
      <xdr:rowOff>18548</xdr:rowOff>
    </xdr:to>
    <xdr:pic>
      <xdr:nvPicPr>
        <xdr:cNvPr id="8" name="图片 7">
          <a:extLst>
            <a:ext uri="{FF2B5EF4-FFF2-40B4-BE49-F238E27FC236}">
              <a16:creationId xmlns:a16="http://schemas.microsoft.com/office/drawing/2014/main" id="{72693EEC-D57A-4F88-A7AE-938430441A7C}"/>
            </a:ext>
          </a:extLst>
        </xdr:cNvPr>
        <xdr:cNvPicPr>
          <a:picLocks noChangeAspect="1"/>
        </xdr:cNvPicPr>
      </xdr:nvPicPr>
      <xdr:blipFill>
        <a:blip xmlns:r="http://schemas.openxmlformats.org/officeDocument/2006/relationships" r:embed="rId6"/>
        <a:stretch>
          <a:fillRect/>
        </a:stretch>
      </xdr:blipFill>
      <xdr:spPr>
        <a:xfrm>
          <a:off x="3771900" y="11563350"/>
          <a:ext cx="9857143" cy="4019048"/>
        </a:xfrm>
        <a:prstGeom prst="rect">
          <a:avLst/>
        </a:prstGeom>
      </xdr:spPr>
    </xdr:pic>
    <xdr:clientData/>
  </xdr:twoCellAnchor>
  <xdr:twoCellAnchor editAs="oneCell">
    <xdr:from>
      <xdr:col>2</xdr:col>
      <xdr:colOff>304800</xdr:colOff>
      <xdr:row>85</xdr:row>
      <xdr:rowOff>171450</xdr:rowOff>
    </xdr:from>
    <xdr:to>
      <xdr:col>11</xdr:col>
      <xdr:colOff>732536</xdr:colOff>
      <xdr:row>112</xdr:row>
      <xdr:rowOff>18458</xdr:rowOff>
    </xdr:to>
    <xdr:pic>
      <xdr:nvPicPr>
        <xdr:cNvPr id="9" name="图片 8">
          <a:extLst>
            <a:ext uri="{FF2B5EF4-FFF2-40B4-BE49-F238E27FC236}">
              <a16:creationId xmlns:a16="http://schemas.microsoft.com/office/drawing/2014/main" id="{C351086C-6A89-4092-91DF-DD648383A391}"/>
            </a:ext>
          </a:extLst>
        </xdr:cNvPr>
        <xdr:cNvPicPr>
          <a:picLocks noChangeAspect="1"/>
        </xdr:cNvPicPr>
      </xdr:nvPicPr>
      <xdr:blipFill>
        <a:blip xmlns:r="http://schemas.openxmlformats.org/officeDocument/2006/relationships" r:embed="rId7"/>
        <a:stretch>
          <a:fillRect/>
        </a:stretch>
      </xdr:blipFill>
      <xdr:spPr>
        <a:xfrm>
          <a:off x="3933825" y="15554325"/>
          <a:ext cx="7114286" cy="4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495" t="s">
        <v>2582</v>
      </c>
      <c r="J2" s="3495"/>
      <c r="K2" s="3495"/>
      <c r="L2" s="3495"/>
      <c r="M2" s="3495"/>
      <c r="N2" s="3495"/>
      <c r="O2" s="3495"/>
      <c r="P2" s="3495"/>
      <c r="Q2" s="3495"/>
      <c r="R2" s="3495"/>
    </row>
    <row r="3" spans="1:18">
      <c r="A3" s="3018" t="s">
        <v>2503</v>
      </c>
      <c r="B3" s="3019">
        <f>项目基本情况!D3</f>
        <v>45076</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3.55</v>
      </c>
      <c r="D5" s="3023">
        <f>IF(ISERROR(ROUND(POWER(1+E5,A5-C5)*(POWER(1+E5,C5)-1)/(POWER(1+E5,A5)-1),3)),0,ROUND(POWER(1+E5,A5-C5)*(POWER(1+E5,C5)-1)/(POWER(1+E5,A5)-1),4))</f>
        <v>0.16420000000000001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13.56</v>
      </c>
      <c r="D6" s="3023">
        <f>IF(ISERROR(ROUND(POWER(1+E6,A6-C6)*(POWER(1+E6,C6)-1)/(POWER(1+E6,A6)-1),3)),0,ROUND(POWER(1+E6,A6-C6)*(POWER(1+E6,C6)-1)/(POWER(1+E6,A6)-1),4))</f>
        <v>0.48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33.58</v>
      </c>
      <c r="D7" s="3023">
        <f>IF(ISERROR(ROUND(POWER(1+E7,A7-C7)*(POWER(1+E7,C7)-1)/(POWER(1+E7,A7)-1),3)),0,ROUND(POWER(1+E7,A7-C7)*(POWER(1+E7,C7)-1)/(POWER(1+E7,A7)-1),4))</f>
        <v>0.7823</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0" sqref="B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北京市预评估</v>
      </c>
      <c r="C1" s="3505"/>
      <c r="D1" s="3505"/>
      <c r="E1" s="3505"/>
      <c r="F1" s="3505"/>
      <c r="G1" s="3505"/>
      <c r="H1" s="3505"/>
      <c r="I1" s="350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3440</v>
      </c>
      <c r="C8" s="2390"/>
      <c r="D8" s="3507" t="s">
        <v>2177</v>
      </c>
      <c r="E8" s="2391"/>
      <c r="F8" s="2392"/>
      <c r="G8" s="2661"/>
      <c r="H8" s="2661"/>
      <c r="I8" s="2661"/>
      <c r="J8" s="2439"/>
      <c r="K8" s="2612"/>
      <c r="L8" s="2611"/>
      <c r="M8" s="2611"/>
      <c r="N8" s="2439"/>
      <c r="O8" s="2450"/>
      <c r="P8" s="2439"/>
      <c r="Q8" s="2439"/>
      <c r="R8" s="2439"/>
    </row>
    <row r="9" spans="1:30" ht="13.5" thickBot="1">
      <c r="A9" s="2393" t="s">
        <v>2178</v>
      </c>
      <c r="B9" s="2394"/>
      <c r="C9" s="2395"/>
      <c r="D9" s="3508"/>
      <c r="E9" s="2394"/>
      <c r="F9" s="2396"/>
      <c r="G9" s="2663"/>
      <c r="H9" s="2663"/>
      <c r="I9" s="2663"/>
      <c r="J9" s="2439"/>
      <c r="K9" s="2614"/>
      <c r="L9" s="2611"/>
      <c r="M9" s="2611"/>
      <c r="N9" s="2439"/>
      <c r="O9" s="2450"/>
      <c r="P9" s="2439"/>
      <c r="Q9" s="2439"/>
      <c r="R9" s="2439"/>
    </row>
    <row r="10" spans="1:30" ht="13.5" thickTop="1">
      <c r="A10" s="2397" t="s">
        <v>2179</v>
      </c>
      <c r="B10" s="2398" t="s">
        <v>3441</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2578</v>
      </c>
      <c r="J12" s="3060"/>
      <c r="K12" s="2611"/>
      <c r="L12" s="2611"/>
      <c r="M12" s="2439"/>
      <c r="N12" s="2450"/>
      <c r="O12" s="2439"/>
      <c r="P12" s="2439"/>
      <c r="Q12" s="2439"/>
      <c r="AD12" s="1745"/>
    </row>
    <row r="13" spans="1:30">
      <c r="A13" s="3421" t="s">
        <v>3336</v>
      </c>
      <c r="B13" s="2407" t="s">
        <v>2190</v>
      </c>
      <c r="C13" s="856"/>
      <c r="D13" s="856"/>
      <c r="E13" s="856"/>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4"/>
      <c r="C16" s="3515"/>
      <c r="D16" s="3516"/>
      <c r="E16" s="2413" t="s">
        <v>2194</v>
      </c>
      <c r="F16" s="3517"/>
      <c r="G16" s="3518"/>
      <c r="H16" s="3518"/>
      <c r="I16" s="3519"/>
      <c r="J16" s="2439"/>
      <c r="K16" s="2615"/>
      <c r="L16" s="2451"/>
      <c r="M16" s="2451"/>
      <c r="N16" s="2507"/>
      <c r="O16" s="2451"/>
      <c r="P16" s="2507"/>
      <c r="Q16" s="2439"/>
      <c r="R16" s="2439"/>
    </row>
    <row r="17" spans="1:28">
      <c r="A17" s="313" t="s">
        <v>2195</v>
      </c>
      <c r="B17" s="302" t="s">
        <v>2196</v>
      </c>
      <c r="C17" s="8">
        <f>'数据-汇总表'!E3</f>
        <v>0</v>
      </c>
      <c r="D17" s="2322" t="s">
        <v>2197</v>
      </c>
      <c r="E17" s="3520" t="s">
        <v>2198</v>
      </c>
      <c r="F17" s="3521"/>
      <c r="G17" s="3521"/>
      <c r="H17" s="3521"/>
      <c r="I17" s="3522"/>
      <c r="J17" s="2439"/>
      <c r="K17" s="2616"/>
      <c r="L17" s="2451"/>
      <c r="M17" s="2451"/>
      <c r="N17" s="2507"/>
      <c r="O17" s="2451"/>
      <c r="P17" s="2507"/>
      <c r="Q17" s="2439"/>
      <c r="R17" s="2439"/>
      <c r="S17" s="2439"/>
      <c r="T17" s="2439"/>
      <c r="U17" s="2439"/>
      <c r="V17" s="2439"/>
    </row>
    <row r="18" spans="1:28" ht="24.75" thickBot="1">
      <c r="A18" s="2414" t="s">
        <v>2199</v>
      </c>
      <c r="B18" s="1090" t="s">
        <v>2200</v>
      </c>
      <c r="C18" s="2415" t="e">
        <f>'数据-汇总表'!D3</f>
        <v>#DIV/0!</v>
      </c>
      <c r="D18" s="1092" t="s">
        <v>2201</v>
      </c>
      <c r="E18" s="3523" t="s">
        <v>2202</v>
      </c>
      <c r="F18" s="3524"/>
      <c r="G18" s="3524"/>
      <c r="H18" s="3524"/>
      <c r="I18" s="3525"/>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0" t="s">
        <v>2206</v>
      </c>
      <c r="C20" s="3511"/>
      <c r="D20" s="3512" t="s">
        <v>2207</v>
      </c>
      <c r="E20" s="3513"/>
      <c r="F20" s="2645" t="s">
        <v>1056</v>
      </c>
      <c r="G20" s="2662"/>
      <c r="H20" s="2662"/>
      <c r="I20" s="2662"/>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49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49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49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498"/>
      <c r="B30" s="302" t="s">
        <v>2218</v>
      </c>
      <c r="C30" s="3499"/>
      <c r="D30" s="3500"/>
      <c r="E30" s="2662"/>
      <c r="F30" s="2662"/>
      <c r="G30" s="2662"/>
      <c r="H30" s="2662"/>
      <c r="I30" s="2662"/>
      <c r="J30" s="2439"/>
      <c r="K30" s="2614"/>
      <c r="L30" s="2611"/>
      <c r="M30" s="2611"/>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2581</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7"/>
      <c r="G2" s="2648"/>
      <c r="H2" s="2649"/>
      <c r="I2" s="2325" t="s">
        <v>1132</v>
      </c>
      <c r="J2" s="2657"/>
      <c r="K2" s="2657"/>
      <c r="L2" s="2657"/>
      <c r="M2" s="2657"/>
      <c r="N2" s="2659"/>
      <c r="O2" s="2657"/>
      <c r="P2" s="2657"/>
    </row>
    <row r="3" spans="1:16" ht="15.75" thickBot="1">
      <c r="A3" s="3536" t="s">
        <v>1105</v>
      </c>
      <c r="B3" s="3536"/>
      <c r="C3" s="3536"/>
      <c r="D3" s="43" t="e">
        <f>'数据-基础表'!AY6</f>
        <v>#DIV/0!</v>
      </c>
      <c r="E3" s="43">
        <f>'数据-基础表'!AZ5</f>
        <v>0</v>
      </c>
      <c r="F3" s="2657"/>
      <c r="G3" s="1145"/>
      <c r="H3" s="1026" t="s">
        <v>1106</v>
      </c>
      <c r="I3" s="855" t="e">
        <f>ROUND('数据-基础表'!B3/'数据-基础表'!A3,2)</f>
        <v>#DIV/0!</v>
      </c>
      <c r="J3" s="2657"/>
      <c r="K3" s="2657"/>
      <c r="L3" s="2657"/>
      <c r="M3" s="2657"/>
      <c r="N3" s="2659"/>
      <c r="O3" s="2657"/>
      <c r="P3" s="2657"/>
    </row>
    <row r="4" spans="1:16" ht="15">
      <c r="A4" s="3537"/>
      <c r="B4" s="3538"/>
      <c r="C4" s="353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0" t="s">
        <v>1110</v>
      </c>
      <c r="C5" s="3540"/>
      <c r="D5" s="45" t="e">
        <f>ROUND($D$3*E5/$E$3,2)</f>
        <v>#DIV/0!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0" t="s">
        <v>1111</v>
      </c>
      <c r="C6" s="3540"/>
      <c r="D6" s="45" t="e">
        <f>ROUND($D$3*E6/$E$3,2)</f>
        <v>#DIV/0!</v>
      </c>
      <c r="E6" s="46">
        <f>E3-E5</f>
        <v>0</v>
      </c>
      <c r="F6" s="2657"/>
      <c r="G6" s="2651" t="s">
        <v>1112</v>
      </c>
      <c r="H6" s="1146" t="s">
        <v>1113</v>
      </c>
      <c r="I6" s="2652" t="e">
        <f>ROUND(F31/D31,2)</f>
        <v>#DIV/0!</v>
      </c>
      <c r="J6" s="2657"/>
      <c r="K6" s="2657"/>
      <c r="L6" s="2657"/>
      <c r="M6" s="2657"/>
      <c r="N6" s="2657"/>
      <c r="O6" s="2657"/>
      <c r="P6" s="2657"/>
    </row>
    <row r="7" spans="1:16" ht="15.75" thickBot="1">
      <c r="A7" s="3532"/>
      <c r="B7" s="3533"/>
      <c r="C7" s="353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t="e">
        <f t="shared" ref="D8:D15" si="0">ROUND($D$3*E8/$E$3,2)</f>
        <v>#DIV/0!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t="e">
        <f t="shared" si="0"/>
        <v>#DIV/0!</v>
      </c>
      <c r="E9" s="49">
        <v>0</v>
      </c>
      <c r="F9" s="2657"/>
      <c r="G9" s="2658"/>
      <c r="H9" s="2658"/>
      <c r="I9" s="2657"/>
      <c r="J9" s="2657"/>
      <c r="K9" s="2657"/>
      <c r="L9" s="2657"/>
      <c r="M9" s="2657"/>
      <c r="N9" s="2657"/>
      <c r="O9" s="2657"/>
      <c r="P9" s="2657"/>
    </row>
    <row r="10" spans="1:16">
      <c r="A10" s="1646"/>
      <c r="B10" s="1647"/>
      <c r="C10" s="45" t="s">
        <v>1128</v>
      </c>
      <c r="D10" s="45" t="e">
        <f t="shared" si="0"/>
        <v>#DIV/0!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t="e">
        <f t="shared" si="0"/>
        <v>#DIV/0!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t="e">
        <f t="shared" si="0"/>
        <v>#DIV/0!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t="e">
        <f t="shared" si="0"/>
        <v>#DIV/0!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t="e">
        <f t="shared" si="0"/>
        <v>#DIV/0!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t="e">
        <f t="shared" si="0"/>
        <v>#DIV/0!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t="e">
        <f>SUM(D8:D15)</f>
        <v>#DIV/0!</v>
      </c>
      <c r="E16" s="50">
        <f>SUM(E8:E15)</f>
        <v>0</v>
      </c>
      <c r="F16" s="2657"/>
      <c r="G16" s="2658"/>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c r="D19" s="45" t="e">
        <f>ROUND($D$3*E19/$E$3,2)</f>
        <v>#DIV/0!</v>
      </c>
      <c r="E19" s="53">
        <f t="shared" ref="E19:E26" si="1">SUM(F19:G19)</f>
        <v>0</v>
      </c>
      <c r="F19" s="2793"/>
      <c r="G19" s="2794"/>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5"/>
      <c r="D20" s="45" t="e">
        <f t="shared" ref="D20:D26" si="6">ROUND($D$3*E20/$E$3,2)</f>
        <v>#DIV/0!</v>
      </c>
      <c r="E20" s="53">
        <f t="shared" si="1"/>
        <v>0</v>
      </c>
      <c r="F20" s="2793"/>
      <c r="G20" s="2794"/>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5"/>
      <c r="D21" s="45" t="e">
        <f t="shared" si="6"/>
        <v>#DIV/0!</v>
      </c>
      <c r="E21" s="53">
        <f t="shared" si="1"/>
        <v>0</v>
      </c>
      <c r="F21" s="2793"/>
      <c r="G21" s="2794"/>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6"/>
      <c r="D22" s="45" t="e">
        <f t="shared" si="6"/>
        <v>#DIV/0!</v>
      </c>
      <c r="E22" s="53">
        <f t="shared" si="1"/>
        <v>0</v>
      </c>
      <c r="F22" s="2795"/>
      <c r="G22" s="2796"/>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6"/>
      <c r="D23" s="45" t="e">
        <f>ROUND($D$3*E23/$E$3,2)</f>
        <v>#DIV/0!</v>
      </c>
      <c r="E23" s="53">
        <f>SUM(F23:G23)</f>
        <v>0</v>
      </c>
      <c r="F23" s="2795"/>
      <c r="G23" s="2796"/>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6"/>
      <c r="D24" s="45" t="e">
        <f>ROUND($D$3*E24/$E$3,2)</f>
        <v>#DIV/0!</v>
      </c>
      <c r="E24" s="53">
        <f>SUM(F24:G24)</f>
        <v>0</v>
      </c>
      <c r="F24" s="2795"/>
      <c r="G24" s="2796"/>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6"/>
      <c r="D25" s="45" t="e">
        <f t="shared" si="6"/>
        <v>#DIV/0!</v>
      </c>
      <c r="E25" s="53">
        <f t="shared" si="1"/>
        <v>0</v>
      </c>
      <c r="F25" s="2795"/>
      <c r="G25" s="2796"/>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5"/>
      <c r="G26" s="2796"/>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t="e">
        <f>ROUND($D$3*E29/$E$3,2)</f>
        <v>#DIV/0!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t="e">
        <f>SUM(D28:D29)</f>
        <v>#DIV/0!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t="e">
        <f>D27+D30</f>
        <v>#DIV/0!</v>
      </c>
      <c r="E31" s="676">
        <f>E27+E30</f>
        <v>0</v>
      </c>
      <c r="F31" s="677">
        <f>F27+F30</f>
        <v>0</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0</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t="e">
        <f ca="1">IF(A40="利息：取LPR",存贷款利率!G1,存贷款利率!G1+C40)</f>
        <v>#VALUE!</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0</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0</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1" t="s">
        <v>2284</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803" t="s">
        <v>3446</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804" t="s">
        <v>3451</v>
      </c>
      <c r="D6" s="2464"/>
      <c r="E6" s="2468"/>
      <c r="F6" s="323" t="s">
        <v>2263</v>
      </c>
      <c r="G6" s="2469" t="s">
        <v>2264</v>
      </c>
      <c r="H6" s="799"/>
      <c r="I6" s="799"/>
      <c r="J6" s="799"/>
      <c r="K6" s="799"/>
      <c r="L6" s="799"/>
      <c r="M6" s="799"/>
      <c r="N6" s="799"/>
      <c r="O6" s="799"/>
      <c r="P6" s="799"/>
      <c r="Q6" s="799"/>
      <c r="R6" s="799"/>
    </row>
    <row r="7" spans="1:29" ht="24.75" thickBot="1">
      <c r="A7" s="2442"/>
      <c r="B7" s="323" t="s">
        <v>2260</v>
      </c>
      <c r="C7" s="3804" t="s">
        <v>3450</v>
      </c>
      <c r="D7" s="2470"/>
      <c r="E7" s="2471"/>
      <c r="F7" s="2472" t="s">
        <v>2265</v>
      </c>
      <c r="G7" s="2473" t="s">
        <v>2266</v>
      </c>
      <c r="H7" s="799"/>
      <c r="I7" s="799"/>
      <c r="J7" s="799"/>
      <c r="K7" s="799"/>
      <c r="L7" s="799"/>
      <c r="M7" s="799"/>
      <c r="N7" s="799"/>
      <c r="O7" s="799"/>
      <c r="P7" s="799"/>
      <c r="Q7" s="799"/>
      <c r="R7" s="799"/>
    </row>
    <row r="8" spans="1:29" ht="24">
      <c r="A8" s="2442"/>
      <c r="B8" s="323" t="s">
        <v>2263</v>
      </c>
      <c r="C8" s="3804" t="s">
        <v>3449</v>
      </c>
      <c r="D8" s="2470"/>
      <c r="E8" s="2470"/>
      <c r="F8" s="2474"/>
      <c r="G8" s="2474"/>
      <c r="H8" s="799"/>
      <c r="I8" s="799"/>
      <c r="J8" s="799"/>
      <c r="K8" s="799"/>
      <c r="L8" s="799"/>
      <c r="M8" s="799"/>
      <c r="N8" s="799"/>
      <c r="O8" s="799"/>
      <c r="P8" s="799"/>
      <c r="Q8" s="799"/>
      <c r="R8" s="799"/>
    </row>
    <row r="9" spans="1:29" ht="36">
      <c r="A9" s="2442"/>
      <c r="B9" s="323" t="s">
        <v>2267</v>
      </c>
      <c r="C9" s="3806" t="s">
        <v>3448</v>
      </c>
      <c r="D9" s="2464"/>
      <c r="E9" s="2470"/>
      <c r="F9" s="2474"/>
      <c r="G9" s="2474"/>
      <c r="H9" s="799"/>
      <c r="I9" s="799"/>
      <c r="J9" s="799"/>
      <c r="K9" s="799"/>
      <c r="L9" s="799"/>
      <c r="M9" s="799"/>
      <c r="N9" s="799"/>
      <c r="O9" s="799"/>
      <c r="P9" s="799"/>
      <c r="Q9" s="799"/>
      <c r="R9" s="799"/>
    </row>
    <row r="10" spans="1:29" s="2479" customFormat="1" ht="15" thickBot="1">
      <c r="A10" s="2443"/>
      <c r="B10" s="2475" t="s">
        <v>2268</v>
      </c>
      <c r="C10" s="3805" t="s">
        <v>3447</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估价对象周边有铁西宿舍、复兴路12号院、会城门小区、电信宿舍、什坊院、羊坊店西路等社区，综合评价居住社区成熟度较好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估价对象周边有21路、40路、414路等多条公共线路，距地铁1号线、9号线换乘站（军事博物馆站）约700米，路边可停车，综合评价交通便捷度较好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25.5">
      <c r="A20" s="2446"/>
      <c r="B20" s="2500" t="s">
        <v>2276</v>
      </c>
      <c r="C20" s="2499" t="str">
        <f>C9</f>
        <v>区域自然环境：西护城河、中华世纪坛公园；人文环境；军事博物馆；综合评价环境状况较好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城市支路——羊坊店东路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45076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c r="D4" s="1756"/>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c r="D14" s="3580"/>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7" t="s">
        <v>2131</v>
      </c>
      <c r="F18" s="3568"/>
      <c r="G18" s="3568"/>
      <c r="H18" s="3568"/>
      <c r="I18" s="3568"/>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t="e">
        <f ca="1">ROUND(H101*F45,0)</f>
        <v>#REF!</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1">
        <v>1</v>
      </c>
      <c r="K46" s="3607" t="s">
        <v>1331</v>
      </c>
      <c r="L46" s="3607"/>
      <c r="M46" s="3627"/>
      <c r="N46" s="3627"/>
      <c r="O46" s="3627"/>
    </row>
    <row r="47" spans="1:15" ht="12" customHeight="1">
      <c r="A47" s="160" t="s">
        <v>1332</v>
      </c>
      <c r="B47" s="161"/>
      <c r="C47" s="162"/>
      <c r="D47" s="1087" t="s">
        <v>1333</v>
      </c>
      <c r="E47" s="302" t="s">
        <v>1334</v>
      </c>
      <c r="F47" s="163" t="s">
        <v>1335</v>
      </c>
      <c r="G47" s="2544" t="s">
        <v>1336</v>
      </c>
      <c r="H47" s="2545"/>
      <c r="I47" s="159"/>
      <c r="J47" s="2521">
        <v>2</v>
      </c>
      <c r="K47" s="3607" t="s">
        <v>1337</v>
      </c>
      <c r="L47" s="3607"/>
      <c r="M47" s="3628">
        <f>'数据-取费表'!B2</f>
        <v>45076</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6">
        <f>IF(H48="情况1","免征",'数据-取费表'!B41)</f>
        <v>0</v>
      </c>
      <c r="G48" s="2547" t="s">
        <v>1339</v>
      </c>
      <c r="H48" s="2548"/>
      <c r="I48" s="1806"/>
      <c r="J48" s="2521">
        <v>3</v>
      </c>
      <c r="K48" s="3607" t="s">
        <v>1340</v>
      </c>
      <c r="L48" s="3607"/>
      <c r="M48" s="3629" t="e">
        <f ca="1">H101</f>
        <v>#REF!</v>
      </c>
      <c r="N48" s="3629"/>
      <c r="O48" s="3629"/>
    </row>
    <row r="49" spans="1:35" ht="25.5" customHeight="1">
      <c r="A49" s="2333" t="s">
        <v>1341</v>
      </c>
      <c r="B49" s="3543" t="s">
        <v>1342</v>
      </c>
      <c r="C49" s="3543"/>
      <c r="D49" s="1590">
        <v>0</v>
      </c>
      <c r="E49" s="324" t="s">
        <v>1343</v>
      </c>
      <c r="F49" s="2424" t="s">
        <v>28</v>
      </c>
      <c r="G49" s="3613"/>
      <c r="H49" s="2310" t="s">
        <v>2134</v>
      </c>
      <c r="I49" s="2311"/>
      <c r="J49" s="2521">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49"/>
      <c r="B50" s="3543" t="s">
        <v>1344</v>
      </c>
      <c r="C50" s="3543"/>
      <c r="D50" s="2550"/>
      <c r="E50" s="332"/>
      <c r="F50" s="2424"/>
      <c r="G50" s="3614"/>
      <c r="H50" s="2312" t="s">
        <v>2135</v>
      </c>
      <c r="I50" s="2311"/>
      <c r="J50" s="3626" t="s">
        <v>1345</v>
      </c>
      <c r="K50" s="3626"/>
      <c r="L50" s="3626"/>
      <c r="M50" s="3626"/>
      <c r="N50" s="3626"/>
      <c r="O50" s="3626"/>
    </row>
    <row r="51" spans="1:35" ht="20.45" customHeight="1">
      <c r="A51" s="2551"/>
      <c r="B51" s="3543" t="s">
        <v>1346</v>
      </c>
      <c r="C51" s="3543"/>
      <c r="D51" s="1087"/>
      <c r="E51" s="327"/>
      <c r="F51" s="2424"/>
      <c r="G51" s="3615"/>
      <c r="H51" s="2312" t="s">
        <v>2136</v>
      </c>
      <c r="I51" s="2311"/>
      <c r="J51" s="2522" t="s">
        <v>1347</v>
      </c>
      <c r="K51" s="3607" t="s">
        <v>1348</v>
      </c>
      <c r="L51" s="3607"/>
      <c r="M51" s="2522" t="s">
        <v>1349</v>
      </c>
      <c r="N51" s="2522" t="s">
        <v>1350</v>
      </c>
      <c r="O51" s="2522" t="s">
        <v>1351</v>
      </c>
    </row>
    <row r="52" spans="1:35" ht="24" customHeight="1">
      <c r="A52" s="2335" t="s">
        <v>1352</v>
      </c>
      <c r="B52" s="3543" t="s">
        <v>1353</v>
      </c>
      <c r="C52" s="3543"/>
      <c r="D52" s="1087" t="e">
        <f ca="1">ROUND(D45*'数据-取费表'!B41/(1+'数据-取费表'!C42),0)</f>
        <v>#REF!</v>
      </c>
      <c r="E52" s="2334" t="s">
        <v>1354</v>
      </c>
      <c r="F52" s="2552">
        <f>'数据-取费表'!B41</f>
        <v>0</v>
      </c>
      <c r="G52" s="2553"/>
      <c r="H52" s="2542"/>
      <c r="I52" s="1807"/>
      <c r="J52" s="2521">
        <v>1</v>
      </c>
      <c r="K52" s="3608" t="s">
        <v>1355</v>
      </c>
      <c r="L52" s="3608"/>
      <c r="M52" s="2523" t="b">
        <f>D48</f>
        <v>0</v>
      </c>
      <c r="N52" s="2521" t="str">
        <f>E48</f>
        <v>销售额×税（费）率</v>
      </c>
      <c r="O52" s="2524">
        <f>F48</f>
        <v>0</v>
      </c>
    </row>
    <row r="53" spans="1:35" ht="12" customHeight="1">
      <c r="A53" s="2335" t="s">
        <v>1356</v>
      </c>
      <c r="B53" s="3569" t="s">
        <v>2289</v>
      </c>
      <c r="C53" s="3570"/>
      <c r="D53" s="1087" t="e">
        <f ca="1">ROUND(D45*'数据-取费表'!B41/(1+'数据-取费表'!C42),0)</f>
        <v>#REF!</v>
      </c>
      <c r="E53" s="2334" t="s">
        <v>1354</v>
      </c>
      <c r="F53" s="2552">
        <f>'数据-取费表'!B41</f>
        <v>0</v>
      </c>
      <c r="G53" s="2553"/>
      <c r="H53" s="2542"/>
      <c r="I53" s="1807"/>
      <c r="J53" s="2521">
        <v>2</v>
      </c>
      <c r="K53" s="3608" t="s">
        <v>1357</v>
      </c>
      <c r="L53" s="3608"/>
      <c r="M53" s="2523" t="e">
        <f t="shared" ref="M53:O54" ca="1" si="0">D55</f>
        <v>#REF!</v>
      </c>
      <c r="N53" s="2521" t="str">
        <f t="shared" si="0"/>
        <v>销售额×税（费）率</v>
      </c>
      <c r="O53" s="2524" t="str">
        <f t="shared" si="0"/>
        <v>免征</v>
      </c>
    </row>
    <row r="54" spans="1:35" ht="12" customHeight="1">
      <c r="A54" s="2335" t="s">
        <v>1358</v>
      </c>
      <c r="B54" s="3569" t="s">
        <v>2290</v>
      </c>
      <c r="C54" s="3570"/>
      <c r="D54" s="1087" t="e">
        <f ca="1">C68</f>
        <v>#REF!</v>
      </c>
      <c r="E54" s="327" t="s">
        <v>1359</v>
      </c>
      <c r="F54" s="2552">
        <f>'数据-取费表'!B41</f>
        <v>0</v>
      </c>
      <c r="G54" s="2553"/>
      <c r="H54" s="2554"/>
      <c r="I54" s="1807"/>
      <c r="J54" s="2521">
        <v>3</v>
      </c>
      <c r="K54" s="3608" t="s">
        <v>1360</v>
      </c>
      <c r="L54" s="3608"/>
      <c r="M54" s="2523" t="e">
        <f t="shared" ca="1" si="0"/>
        <v>#REF!</v>
      </c>
      <c r="N54" s="2521" t="str">
        <f t="shared" si="0"/>
        <v>增值额×税（费）率</v>
      </c>
      <c r="O54" s="2525" t="str">
        <f t="shared" si="0"/>
        <v>免征</v>
      </c>
    </row>
    <row r="55" spans="1:35" ht="24" customHeight="1">
      <c r="A55" s="3558" t="s">
        <v>1361</v>
      </c>
      <c r="B55" s="3559"/>
      <c r="C55" s="3559"/>
      <c r="D55" s="2324" t="e">
        <f ca="1">IF(H55="个人住宅",0,ROUND(D45*I55,0))</f>
        <v>#REF!</v>
      </c>
      <c r="E55" s="2334" t="s">
        <v>1362</v>
      </c>
      <c r="F55" s="2552" t="str">
        <f>IF(H55="正常",I55,"免征")</f>
        <v>免征</v>
      </c>
      <c r="G55" s="2553"/>
      <c r="H55" s="2548"/>
      <c r="I55" s="165">
        <f>'数据-取费表'!B49</f>
        <v>0</v>
      </c>
      <c r="J55" s="2521">
        <f>IF(H59="非个人房产","",4)</f>
        <v>4</v>
      </c>
      <c r="K55" s="3608" t="str">
        <f>IF(H59="非个人房产","——","个人所得税")</f>
        <v>个人所得税</v>
      </c>
      <c r="L55" s="3608"/>
      <c r="M55" s="2526" t="e">
        <f ca="1">D59</f>
        <v>#REF!</v>
      </c>
      <c r="N55" s="2040" t="str">
        <f>E59</f>
        <v>差额计税</v>
      </c>
      <c r="O55" s="2527">
        <f>F59</f>
        <v>0.01</v>
      </c>
    </row>
    <row r="56" spans="1:35" ht="24.75">
      <c r="A56" s="3558" t="s">
        <v>1363</v>
      </c>
      <c r="B56" s="3559"/>
      <c r="C56" s="3559"/>
      <c r="D56" s="2324" t="e">
        <f ca="1">IF(H56="个人住宅",D57,D58)</f>
        <v>#REF!</v>
      </c>
      <c r="E56" s="2334" t="s">
        <v>1364</v>
      </c>
      <c r="F56" s="2552" t="str">
        <f>IF(H56="正常",F58,"免征")</f>
        <v>免征</v>
      </c>
      <c r="G56" s="2555" t="s">
        <v>1365</v>
      </c>
      <c r="H56" s="2556"/>
      <c r="I56" s="1808"/>
      <c r="J56" s="2521"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3"/>
      <c r="H57" s="2557"/>
      <c r="I57" s="1808"/>
      <c r="J57" s="3608">
        <f>IF(AND(J55="",J56=""),4,IF(项目基本情况!K6="上海银行",结果表!J56+1,结果表!J55+1))</f>
        <v>5</v>
      </c>
      <c r="K57" s="3608" t="s">
        <v>1367</v>
      </c>
      <c r="L57" s="2528" t="s">
        <v>1368</v>
      </c>
      <c r="M57" s="2529"/>
      <c r="N57" s="2530">
        <f ca="1">SUMIF(M52:M56,"&lt;9e307")</f>
        <v>0</v>
      </c>
      <c r="O57" s="2531"/>
      <c r="P57" s="2688" t="e">
        <f ca="1">N57/M49</f>
        <v>#VALUE!</v>
      </c>
    </row>
    <row r="58" spans="1:35" ht="24.75">
      <c r="A58" s="2335" t="s">
        <v>1352</v>
      </c>
      <c r="B58" s="3569" t="s">
        <v>1369</v>
      </c>
      <c r="C58" s="3543"/>
      <c r="D58" s="2324" t="e">
        <f ca="1">IF(H58="转让取得",C81,C97)</f>
        <v>#REF!</v>
      </c>
      <c r="E58" s="2334" t="s">
        <v>1364</v>
      </c>
      <c r="F58" s="302" t="s">
        <v>28</v>
      </c>
      <c r="G58" s="2553"/>
      <c r="H58" s="2556"/>
      <c r="I58" s="1808"/>
      <c r="J58" s="3608"/>
      <c r="K58" s="3608"/>
      <c r="L58" s="2528" t="s">
        <v>1370</v>
      </c>
      <c r="M58" s="2532"/>
      <c r="N58" s="2533" t="str">
        <f ca="1">NUMBERSTRING(INT(N57*10000),2)&amp;"元整"</f>
        <v>零元整</v>
      </c>
      <c r="O58" s="2534"/>
    </row>
    <row r="59" spans="1:35" ht="24.75" thickBot="1">
      <c r="A59" s="3611" t="s">
        <v>1371</v>
      </c>
      <c r="B59" s="3612"/>
      <c r="C59" s="361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9">
        <f>J57+1</f>
        <v>6</v>
      </c>
      <c r="K59" s="3608" t="s">
        <v>1372</v>
      </c>
      <c r="L59" s="2521" t="s">
        <v>1368</v>
      </c>
      <c r="M59" s="2535"/>
      <c r="N59" s="2536" t="e">
        <f ca="1">M49-N57</f>
        <v>#VALUE!</v>
      </c>
      <c r="O59" s="2537"/>
    </row>
    <row r="60" spans="1:35" ht="12" customHeight="1">
      <c r="A60" s="1809"/>
      <c r="B60" s="1747"/>
      <c r="C60" s="1747"/>
      <c r="D60" s="1747"/>
      <c r="E60" s="1578"/>
      <c r="F60" s="1808"/>
      <c r="G60" s="1808"/>
      <c r="H60" s="1810"/>
      <c r="I60" s="129"/>
      <c r="J60" s="3610"/>
      <c r="K60" s="3608"/>
      <c r="L60" s="2528" t="s">
        <v>1370</v>
      </c>
      <c r="M60" s="2532"/>
      <c r="N60" s="2533" t="e">
        <f ca="1">NUMBERSTRING(INT(N59*10000),2)&amp;"元整"</f>
        <v>#VALUE!</v>
      </c>
      <c r="O60" s="2534"/>
    </row>
    <row r="61" spans="1:35" ht="13.5" thickBot="1">
      <c r="A61" s="3556" t="s">
        <v>1373</v>
      </c>
      <c r="B61" s="3556"/>
      <c r="C61" s="3556"/>
      <c r="D61" s="3556"/>
      <c r="E61" s="3556"/>
      <c r="F61" s="1808"/>
      <c r="G61" s="1808"/>
      <c r="H61" s="1810"/>
      <c r="I61" s="129"/>
      <c r="J61" s="2521">
        <f>J59+1</f>
        <v>7</v>
      </c>
      <c r="K61" s="3608" t="s">
        <v>1374</v>
      </c>
      <c r="L61" s="3608"/>
      <c r="M61" s="2538"/>
      <c r="N61" s="2539" t="e">
        <f ca="1">ROUND(N59*10000/'数据-汇总表'!E3,0)</f>
        <v>#VALUE!</v>
      </c>
      <c r="O61" s="2540"/>
    </row>
    <row r="62" spans="1:35" ht="12.75">
      <c r="A62" s="3574" t="s">
        <v>1375</v>
      </c>
      <c r="B62" s="3575"/>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3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3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3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0</v>
      </c>
      <c r="E68" s="178"/>
      <c r="F68" s="1808"/>
      <c r="G68" s="1808"/>
      <c r="H68" s="1810"/>
      <c r="I68" s="129"/>
      <c r="J68" s="363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3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0</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5" t="s">
        <v>2129</v>
      </c>
      <c r="H90" s="3636"/>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3" t="s">
        <v>1422</v>
      </c>
      <c r="F92" s="3554"/>
      <c r="G92" s="3554"/>
      <c r="H92" s="3563"/>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0</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3">
        <f>C4</f>
        <v>0</v>
      </c>
      <c r="D101" s="2584">
        <f>D4</f>
        <v>0</v>
      </c>
      <c r="E101" s="3630" t="s">
        <v>1431</v>
      </c>
      <c r="F101" s="3587"/>
      <c r="G101" s="1827" t="s">
        <v>1432</v>
      </c>
      <c r="H101" s="2593" t="e">
        <f ca="1">H118</f>
        <v>#REF!</v>
      </c>
      <c r="I101" s="129"/>
    </row>
    <row r="102" spans="1:35" ht="18.75" customHeight="1">
      <c r="A102" s="3589" t="s">
        <v>1433</v>
      </c>
      <c r="B102" s="2582" t="s">
        <v>1432</v>
      </c>
      <c r="C102" s="2583" t="e">
        <f ca="1">IF(D32="楼面单价",ROUND(C19,0),C19)</f>
        <v>#REF!</v>
      </c>
      <c r="D102" s="2584" t="e">
        <f ca="1">IF(D32="楼面单价",ROUND(D19,0),D19)</f>
        <v>#REF!</v>
      </c>
      <c r="E102" s="3630"/>
      <c r="F102" s="3587"/>
      <c r="G102" s="1827" t="s">
        <v>1434</v>
      </c>
      <c r="H102" s="2553" t="e">
        <f ca="1">I118</f>
        <v>#REF!</v>
      </c>
      <c r="I102" s="129"/>
    </row>
    <row r="103" spans="1:35" ht="42.75" customHeight="1">
      <c r="A103" s="3589"/>
      <c r="B103" s="2582" t="s">
        <v>1434</v>
      </c>
      <c r="C103" s="2585" t="e">
        <f ca="1">C20</f>
        <v>#REF!</v>
      </c>
      <c r="D103" s="2586" t="e">
        <f ca="1">D20</f>
        <v>#REF!</v>
      </c>
      <c r="E103" s="3624" t="s">
        <v>1435</v>
      </c>
      <c r="F103" s="3625"/>
      <c r="G103" s="1828" t="s">
        <v>1436</v>
      </c>
      <c r="H103" s="2593">
        <f>IF(D36="正常操作",H104+H105+H106,H105+H106)</f>
        <v>0</v>
      </c>
      <c r="I103" s="129"/>
    </row>
    <row r="104" spans="1:35" ht="18.75" customHeight="1">
      <c r="A104" s="358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6" t="str">
        <f>IF(项目基本情况!E8="已注销","——","3.房地产抵押价值")</f>
        <v>3.房地产抵押价值</v>
      </c>
      <c r="F107" s="3587"/>
      <c r="G107" s="1827" t="s">
        <v>1432</v>
      </c>
      <c r="H107" s="2593" t="e">
        <f ca="1">IF(E107="——","——",H101-H103)</f>
        <v>#REF!</v>
      </c>
      <c r="I107" s="129"/>
    </row>
    <row r="108" spans="1:35" ht="18.75" customHeight="1">
      <c r="A108" s="129"/>
      <c r="B108" s="129"/>
      <c r="C108" s="129"/>
      <c r="D108" s="129"/>
      <c r="E108" s="3586"/>
      <c r="F108" s="3587"/>
      <c r="G108" s="1827" t="s">
        <v>1434</v>
      </c>
      <c r="H108" s="2553">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6" t="str">
        <f>IF(E109="——","——",H101-H105-H106)</f>
        <v>——</v>
      </c>
      <c r="I109" s="129"/>
    </row>
    <row r="110" spans="1:35" ht="18.75" customHeight="1">
      <c r="A110" s="129"/>
      <c r="B110" s="129"/>
      <c r="C110" s="129"/>
      <c r="D110" s="129"/>
      <c r="E110" s="3586"/>
      <c r="F110" s="3587"/>
      <c r="G110" s="1827" t="s">
        <v>1434</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3" t="str">
        <f>IF(E111="——","——",N59)</f>
        <v>——</v>
      </c>
      <c r="I111" s="129"/>
    </row>
    <row r="112" spans="1:35" ht="18.75" customHeight="1" thickBot="1">
      <c r="A112" s="129"/>
      <c r="B112" s="129"/>
      <c r="C112" s="129"/>
      <c r="D112" s="129"/>
      <c r="E112" s="3619"/>
      <c r="F112" s="3620"/>
      <c r="G112" s="1830"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97" t="e">
        <f ca="1">NUMBERSTRING(INT(D118*10000),2)&amp;"元整"</f>
        <v>#REF!</v>
      </c>
      <c r="E119" s="3599"/>
      <c r="F119" s="3597" t="e">
        <f ca="1">NUMBERSTRING(INT(F118*10000),2)&amp;"元整"</f>
        <v>#REF!</v>
      </c>
      <c r="G119" s="3599"/>
      <c r="H119" s="3597" t="e">
        <f ca="1">NUMBERSTRING(INT(H118*10000),2)&amp;"元整"</f>
        <v>#REF!</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t="e">
        <f ca="1">H107</f>
        <v>#REF!</v>
      </c>
      <c r="E122" s="3622"/>
      <c r="F122" s="3622"/>
      <c r="G122" s="3622"/>
      <c r="H122" s="3622"/>
      <c r="I122" s="3623"/>
      <c r="AA122" s="725"/>
    </row>
    <row r="123" spans="1:27" ht="18.75" customHeight="1">
      <c r="A123" s="3557" t="s">
        <v>1452</v>
      </c>
      <c r="B123" s="3557"/>
      <c r="C123" s="3557"/>
      <c r="D123" s="3597" t="e">
        <f ca="1">NUMBERSTRING(INT(D122*10000),2)&amp;"元整"</f>
        <v>#REF!</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7" t="s">
        <v>1544</v>
      </c>
    </row>
    <row r="43" spans="1:7" ht="13.5" customHeight="1">
      <c r="A43" s="780" t="s">
        <v>347</v>
      </c>
      <c r="B43" s="215" t="s">
        <v>1545</v>
      </c>
      <c r="C43" s="238" t="e">
        <f ca="1">ROUND(IF('数据-取费表'!B22&lt;=1,C39*F22*'数据-取费表'!B21/2,C39*(POWER((1+F22),'数据-取费表'!B21/2)-1)),0)</f>
        <v>#VALUE!</v>
      </c>
      <c r="D43" s="238"/>
      <c r="E43" s="238"/>
      <c r="F43" s="239"/>
      <c r="G43" s="3638"/>
    </row>
    <row r="44" spans="1:7" ht="13.5" customHeight="1">
      <c r="A44" s="780" t="s">
        <v>348</v>
      </c>
      <c r="B44" s="215" t="s">
        <v>1546</v>
      </c>
      <c r="C44" s="238" t="e">
        <f ca="1">ROUND(IF('数据-取费表'!B22&lt;=1,C40*F22*'数据-取费表'!B21/2,C40*(POWER((1+F22),'数据-取费表'!B21/2)-1)),4)</f>
        <v>#VALUE!</v>
      </c>
      <c r="D44" s="238"/>
      <c r="E44" s="238"/>
      <c r="F44" s="239"/>
      <c r="G44" s="3639"/>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31" sqref="I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2"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7" t="s">
        <v>1591</v>
      </c>
    </row>
    <row r="43" spans="1:7" ht="13.5" customHeight="1">
      <c r="A43" s="780" t="s">
        <v>347</v>
      </c>
      <c r="B43" s="215" t="s">
        <v>1545</v>
      </c>
      <c r="C43" s="238" t="e">
        <f ca="1">ROUND(IF('数据-取费表'!B22&lt;=1,C39*F22*'数据-取费表'!B20/2,C39*(POWER((1+F22),'数据-取费表'!B20/2)-1)),0)</f>
        <v>#VALUE!</v>
      </c>
      <c r="D43" s="238"/>
      <c r="E43" s="238"/>
      <c r="F43" s="239"/>
      <c r="G43" s="3638"/>
    </row>
    <row r="44" spans="1:7" ht="13.5" customHeight="1">
      <c r="A44" s="780" t="s">
        <v>348</v>
      </c>
      <c r="B44" s="215" t="s">
        <v>1546</v>
      </c>
      <c r="C44" s="238" t="e">
        <f ca="1">ROUND(IF('数据-取费表'!B22&lt;=1,C40*F22*'数据-取费表'!B20/2,C40*(POWER((1+F22),'数据-取费表'!B20/2)-1)),4)</f>
        <v>#VALUE!</v>
      </c>
      <c r="D44" s="238"/>
      <c r="E44" s="238"/>
      <c r="F44" s="239"/>
      <c r="G44" s="3639"/>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1" sqref="I3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6</v>
      </c>
    </row>
    <row r="2" spans="1:33" ht="18" customHeight="1">
      <c r="A2" s="201" t="s">
        <v>1462</v>
      </c>
      <c r="B2" s="204" t="e">
        <f ca="1">C32</f>
        <v>#VALUE!</v>
      </c>
      <c r="C2" s="276" t="s">
        <v>1595</v>
      </c>
      <c r="D2" s="276"/>
      <c r="E2" s="2804"/>
      <c r="F2" s="2804"/>
      <c r="G2" s="2804"/>
      <c r="H2" s="2804"/>
      <c r="I2" s="2804"/>
      <c r="J2" s="2804"/>
      <c r="K2" s="2804"/>
    </row>
    <row r="3" spans="1:33" ht="18" customHeight="1" thickBot="1">
      <c r="A3" s="203" t="s">
        <v>1464</v>
      </c>
      <c r="B3" s="204" t="e">
        <f ca="1">ROUND(B2*10000/IF(C1="",'数据-汇总表'!E3,INDIRECT("'数据-取费表'!K"&amp;$K$1)),0)</f>
        <v>#VALUE!</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ROUND(C29*F36,2)</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ROUND(C13*F37,2)</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#VALUE!</v>
      </c>
      <c r="C2" s="1387" t="s">
        <v>879</v>
      </c>
      <c r="D2" s="1471" t="e">
        <f ca="1">C40+J29+L46</f>
        <v>#VALUE!</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ROUND(C29*F36,0)</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ROUND(C13*F37,0)</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#VALUE!</v>
      </c>
      <c r="D45" s="3430" t="s">
        <v>3357</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I31" sqref="I3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3363</v>
      </c>
      <c r="E2" s="3442"/>
      <c r="F2" s="2844"/>
      <c r="G2" s="2845"/>
      <c r="H2" s="2846"/>
      <c r="I2" s="2847"/>
      <c r="J2" s="3651" t="s">
        <v>2319</v>
      </c>
      <c r="K2" s="3652"/>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53" t="s">
        <v>2329</v>
      </c>
      <c r="K3" s="3654"/>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53" t="s">
        <v>2331</v>
      </c>
      <c r="K4" s="3654"/>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59" t="s">
        <v>2335</v>
      </c>
      <c r="B6" s="3660"/>
      <c r="C6" s="3661"/>
      <c r="D6" s="2868"/>
      <c r="E6" s="2869"/>
      <c r="F6" s="2870"/>
      <c r="G6" s="2871"/>
      <c r="H6" s="2846"/>
      <c r="I6" s="2847"/>
      <c r="J6" s="3645">
        <v>1</v>
      </c>
      <c r="K6" s="3646"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5"/>
      <c r="K7" s="3647"/>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62" t="s">
        <v>2349</v>
      </c>
      <c r="C8" s="3663"/>
      <c r="D8" s="2887" t="s">
        <v>2350</v>
      </c>
      <c r="E8" s="2888" t="s">
        <v>2351</v>
      </c>
      <c r="F8" s="2889" t="s">
        <v>2352</v>
      </c>
      <c r="G8" s="2890"/>
      <c r="H8" s="2846"/>
      <c r="I8" s="2847"/>
      <c r="J8" s="3645"/>
      <c r="K8" s="3647"/>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62" t="s">
        <v>2355</v>
      </c>
      <c r="C9" s="3663"/>
      <c r="D9" s="2887">
        <f>ROUND(D6*E9,0)</f>
        <v>0</v>
      </c>
      <c r="E9" s="2891"/>
      <c r="F9" s="2892" t="s">
        <v>2356</v>
      </c>
      <c r="G9" s="2871"/>
      <c r="H9" s="2846"/>
      <c r="I9" s="2847"/>
      <c r="J9" s="3645"/>
      <c r="K9" s="3647"/>
      <c r="L9" s="2881" t="s">
        <v>2357</v>
      </c>
      <c r="M9" s="2882"/>
      <c r="N9" s="2858"/>
      <c r="O9" s="2883"/>
      <c r="P9" s="2883"/>
      <c r="Q9" s="2884">
        <v>365</v>
      </c>
      <c r="R9" s="2885">
        <f t="shared" si="0"/>
        <v>0</v>
      </c>
      <c r="S9" s="2839"/>
      <c r="T9" s="2839"/>
      <c r="U9" s="2839"/>
      <c r="V9" s="2847"/>
    </row>
    <row r="10" spans="1:22" s="2851" customFormat="1" ht="13.15" customHeight="1">
      <c r="A10" s="2886">
        <v>2</v>
      </c>
      <c r="B10" s="3662" t="s">
        <v>2358</v>
      </c>
      <c r="C10" s="3663"/>
      <c r="D10" s="2887">
        <f>ROUND(D6*E10,0)</f>
        <v>0</v>
      </c>
      <c r="E10" s="2891"/>
      <c r="F10" s="2892" t="s">
        <v>2359</v>
      </c>
      <c r="G10" s="2871"/>
      <c r="H10" s="2846"/>
      <c r="I10" s="2847"/>
      <c r="J10" s="3645"/>
      <c r="K10" s="3647"/>
      <c r="L10" s="2881" t="s">
        <v>2360</v>
      </c>
      <c r="M10" s="2882"/>
      <c r="N10" s="2858"/>
      <c r="O10" s="2883"/>
      <c r="P10" s="2883"/>
      <c r="Q10" s="2884">
        <v>365</v>
      </c>
      <c r="R10" s="2885">
        <f t="shared" si="0"/>
        <v>0</v>
      </c>
      <c r="S10" s="2839"/>
      <c r="T10" s="2839"/>
      <c r="U10" s="2839"/>
      <c r="V10" s="2847"/>
    </row>
    <row r="11" spans="1:22" s="2851" customFormat="1" ht="13.15" customHeight="1">
      <c r="A11" s="2886">
        <v>3</v>
      </c>
      <c r="B11" s="3662" t="s">
        <v>2361</v>
      </c>
      <c r="C11" s="3663"/>
      <c r="D11" s="2887">
        <f>D12+D14+D15+D16</f>
        <v>0</v>
      </c>
      <c r="E11" s="2893" t="e">
        <f>D11/D6</f>
        <v>#DIV/0!</v>
      </c>
      <c r="F11" s="2889"/>
      <c r="G11" s="2890"/>
      <c r="H11" s="2846"/>
      <c r="I11" s="2847"/>
      <c r="J11" s="3645"/>
      <c r="K11" s="3647"/>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5" t="s">
        <v>2364</v>
      </c>
      <c r="C12" s="3656"/>
      <c r="D12" s="2895">
        <f>ROUND(D13*1.2%*(1-30%),0)</f>
        <v>0</v>
      </c>
      <c r="E12" s="2896">
        <v>1.2E-2</v>
      </c>
      <c r="F12" s="2889" t="s">
        <v>2365</v>
      </c>
      <c r="G12" s="2890"/>
      <c r="H12" s="2846"/>
      <c r="I12" s="2847"/>
      <c r="J12" s="3645"/>
      <c r="K12" s="3647"/>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5"/>
      <c r="K13" s="3647"/>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5" t="s">
        <v>2370</v>
      </c>
      <c r="C14" s="3656"/>
      <c r="D14" s="2895">
        <f>ROUND(E14*B5/10000,0)</f>
        <v>0</v>
      </c>
      <c r="E14" s="2884"/>
      <c r="F14" s="2889" t="s">
        <v>2371</v>
      </c>
      <c r="G14" s="2890"/>
      <c r="H14" s="2846"/>
      <c r="I14" s="2847"/>
      <c r="J14" s="3645"/>
      <c r="K14" s="3648"/>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5" t="s">
        <v>2374</v>
      </c>
      <c r="C15" s="3656"/>
      <c r="D15" s="2895">
        <f>ROUND(D6*E15,0)</f>
        <v>0</v>
      </c>
      <c r="E15" s="2896">
        <v>5.5E-2</v>
      </c>
      <c r="F15" s="2889" t="s">
        <v>2375</v>
      </c>
      <c r="G15" s="2871"/>
      <c r="H15" s="2846"/>
      <c r="I15" s="2847"/>
      <c r="J15" s="3645">
        <v>2</v>
      </c>
      <c r="K15" s="3646"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5" t="s">
        <v>2383</v>
      </c>
      <c r="C16" s="3656"/>
      <c r="D16" s="2906">
        <f>D6*E16</f>
        <v>0</v>
      </c>
      <c r="E16" s="2907"/>
      <c r="F16" s="2892" t="s">
        <v>2384</v>
      </c>
      <c r="G16" s="2871"/>
      <c r="H16" s="2846"/>
      <c r="I16" s="2847"/>
      <c r="J16" s="3645"/>
      <c r="K16" s="3647"/>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2386</v>
      </c>
      <c r="C17" s="3658"/>
      <c r="D17" s="2909">
        <f>ROUND(D6*E17,0)</f>
        <v>0</v>
      </c>
      <c r="E17" s="2910"/>
      <c r="F17" s="2911" t="s">
        <v>2387</v>
      </c>
      <c r="G17" s="2871"/>
      <c r="H17" s="2846"/>
      <c r="I17" s="2847"/>
      <c r="J17" s="3645"/>
      <c r="K17" s="3647"/>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5"/>
      <c r="K18" s="3647"/>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5"/>
      <c r="K19" s="3648"/>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5">
        <v>3</v>
      </c>
      <c r="K20" s="3646"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5"/>
      <c r="K21" s="3647"/>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5"/>
      <c r="K22" s="3647"/>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5"/>
      <c r="K23" s="3647"/>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5"/>
      <c r="K24" s="3648"/>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4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5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51" t="s">
        <v>2319</v>
      </c>
      <c r="K32" s="3652"/>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53" t="s">
        <v>2329</v>
      </c>
      <c r="K33" s="3654"/>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53" t="s">
        <v>2331</v>
      </c>
      <c r="K34" s="36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5">
        <v>1</v>
      </c>
      <c r="K36" s="3646"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5"/>
      <c r="K37" s="3647"/>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5"/>
      <c r="K38" s="3647"/>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5"/>
      <c r="K39" s="3647"/>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5"/>
      <c r="K40" s="3648"/>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5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5">
        <f>SUM(E6:E13)</f>
        <v>0</v>
      </c>
      <c r="F2" s="2705"/>
      <c r="G2" s="1489"/>
      <c r="H2" s="1489"/>
      <c r="I2" s="1489"/>
      <c r="J2" s="1489"/>
      <c r="K2" s="1489"/>
      <c r="L2" s="1489"/>
      <c r="M2" s="1489"/>
      <c r="N2" s="1489"/>
      <c r="O2" s="1489"/>
      <c r="P2" s="1489"/>
      <c r="Q2" s="1489"/>
      <c r="R2" s="1489"/>
      <c r="S2" s="1489"/>
    </row>
    <row r="3" spans="1:22" ht="15.75">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4" t="s">
        <v>1654</v>
      </c>
      <c r="C5" s="3665"/>
      <c r="D5" s="2706"/>
      <c r="E5" s="1874" t="s">
        <v>1655</v>
      </c>
      <c r="F5" s="1875" t="s">
        <v>1656</v>
      </c>
      <c r="G5" s="1489"/>
      <c r="H5" s="1489"/>
      <c r="I5" s="1489"/>
      <c r="J5" s="1489"/>
      <c r="K5" s="1489"/>
      <c r="L5" s="1489"/>
      <c r="M5" s="1489"/>
      <c r="N5" s="1489"/>
      <c r="O5" s="1489"/>
      <c r="P5" s="1489"/>
      <c r="Q5" s="1489"/>
      <c r="R5" s="1489"/>
      <c r="S5" s="1489"/>
    </row>
    <row r="6" spans="1:22">
      <c r="A6" s="2602">
        <f>'数据-取费表'!AN6</f>
        <v>0</v>
      </c>
      <c r="B6" s="2600" t="e">
        <f ca="1">IF(F6="是",'数据-取费表'!AO6,0)</f>
        <v>#REF!</v>
      </c>
      <c r="C6" s="1872" t="s">
        <v>1651</v>
      </c>
      <c r="D6" s="2707"/>
      <c r="E6" s="2604">
        <f>IF(OR(A6=0,F6="否"),0,'数据-取费表'!K6+'数据-取费表'!S6)</f>
        <v>0</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6813B-2FB4-411D-B5B9-D2C1BBC41A5C}">
  <dimension ref="A1:N63"/>
  <sheetViews>
    <sheetView topLeftCell="A82" workbookViewId="0">
      <selection activeCell="D90" sqref="D90"/>
    </sheetView>
  </sheetViews>
  <sheetFormatPr defaultColWidth="9.75" defaultRowHeight="14.25"/>
  <cols>
    <col min="1" max="1" width="38.75" style="3794" customWidth="1"/>
    <col min="2" max="2" width="8.875" style="3796" customWidth="1"/>
    <col min="3" max="14" width="9.75" style="3796"/>
    <col min="15" max="16384" width="9.75" style="3794"/>
  </cols>
  <sheetData>
    <row r="1" spans="1:14">
      <c r="A1" s="3793" t="s">
        <v>3377</v>
      </c>
      <c r="C1" s="3797">
        <v>45017.333831018521</v>
      </c>
      <c r="D1" s="3797">
        <v>44986.333831018521</v>
      </c>
      <c r="E1" s="3797">
        <v>44958.333831018521</v>
      </c>
      <c r="F1" s="3797">
        <v>44927.333831018521</v>
      </c>
      <c r="G1" s="3797">
        <v>44896.333831018521</v>
      </c>
      <c r="H1" s="3797">
        <v>44866.333831018521</v>
      </c>
      <c r="I1" s="3797">
        <v>44835.333831018521</v>
      </c>
      <c r="J1" s="3797">
        <v>44805.333831018521</v>
      </c>
      <c r="K1" s="3797">
        <v>44774.333831018521</v>
      </c>
      <c r="L1" s="3797">
        <v>44743.333831018521</v>
      </c>
      <c r="M1" s="3797">
        <v>44713.333831018521</v>
      </c>
      <c r="N1" s="3797">
        <v>44682.333831018521</v>
      </c>
    </row>
    <row r="2" spans="1:14">
      <c r="A2" s="3793"/>
      <c r="C2" s="3796" t="s">
        <v>3378</v>
      </c>
      <c r="D2" s="3796" t="s">
        <v>3378</v>
      </c>
      <c r="E2" s="3796" t="s">
        <v>3378</v>
      </c>
      <c r="F2" s="3796" t="s">
        <v>3378</v>
      </c>
      <c r="G2" s="3796" t="s">
        <v>3378</v>
      </c>
      <c r="H2" s="3796" t="s">
        <v>3378</v>
      </c>
      <c r="I2" s="3796" t="s">
        <v>3378</v>
      </c>
      <c r="J2" s="3796" t="s">
        <v>3378</v>
      </c>
      <c r="K2" s="3796" t="s">
        <v>3378</v>
      </c>
      <c r="L2" s="3796" t="s">
        <v>3378</v>
      </c>
      <c r="M2" s="3796" t="s">
        <v>3378</v>
      </c>
      <c r="N2" s="3796" t="s">
        <v>3378</v>
      </c>
    </row>
    <row r="3" spans="1:14">
      <c r="A3" s="3794" t="s">
        <v>3379</v>
      </c>
      <c r="B3" s="3799">
        <f t="shared" ref="B3:B46" si="0">ROUND(AVERAGE(C3:N3),1)</f>
        <v>193.4</v>
      </c>
      <c r="C3" s="3796">
        <v>211.82</v>
      </c>
      <c r="D3" s="3796">
        <v>201.35</v>
      </c>
      <c r="E3" s="3796">
        <v>198.75</v>
      </c>
      <c r="F3" s="3796">
        <v>193.58</v>
      </c>
      <c r="G3" s="3796">
        <v>206.17</v>
      </c>
      <c r="H3" s="3796">
        <v>208.57</v>
      </c>
      <c r="I3" s="3796">
        <v>200.89</v>
      </c>
      <c r="J3" s="3796">
        <v>196.94</v>
      </c>
      <c r="K3" s="3796">
        <v>191.29</v>
      </c>
      <c r="L3" s="3796">
        <v>167.64</v>
      </c>
      <c r="M3" s="3796">
        <v>169.23</v>
      </c>
      <c r="N3" s="3796">
        <v>174.55</v>
      </c>
    </row>
    <row r="4" spans="1:14">
      <c r="A4" s="3794" t="s">
        <v>3380</v>
      </c>
      <c r="B4" s="3799">
        <f t="shared" si="0"/>
        <v>161.80000000000001</v>
      </c>
      <c r="C4" s="3796">
        <v>154.75</v>
      </c>
      <c r="D4" s="3796">
        <v>159.03</v>
      </c>
      <c r="E4" s="3796">
        <v>160.47999999999999</v>
      </c>
      <c r="F4" s="3796">
        <v>165.42</v>
      </c>
      <c r="G4" s="3796">
        <v>164.69</v>
      </c>
      <c r="H4" s="3796">
        <v>161.11000000000001</v>
      </c>
      <c r="I4" s="3796">
        <v>164.03</v>
      </c>
      <c r="J4" s="3796">
        <v>164.66</v>
      </c>
      <c r="K4" s="3796" t="s">
        <v>633</v>
      </c>
      <c r="L4" s="3796" t="s">
        <v>633</v>
      </c>
      <c r="M4" s="3796" t="s">
        <v>633</v>
      </c>
      <c r="N4" s="3796" t="s">
        <v>633</v>
      </c>
    </row>
    <row r="5" spans="1:14">
      <c r="A5" s="3794" t="s">
        <v>3381</v>
      </c>
      <c r="B5" s="3799">
        <f t="shared" si="0"/>
        <v>142.6</v>
      </c>
      <c r="C5" s="3796">
        <v>148.15</v>
      </c>
      <c r="D5" s="3796">
        <v>146.94999999999999</v>
      </c>
      <c r="E5" s="3796">
        <v>138.25</v>
      </c>
      <c r="F5" s="3796">
        <v>137.18</v>
      </c>
      <c r="G5" s="3796">
        <v>132.47999999999999</v>
      </c>
      <c r="H5" s="3796">
        <v>141.06</v>
      </c>
      <c r="I5" s="3796">
        <v>148.13</v>
      </c>
      <c r="J5" s="3796" t="s">
        <v>633</v>
      </c>
      <c r="K5" s="3796" t="s">
        <v>633</v>
      </c>
      <c r="L5" s="3796">
        <v>148.93</v>
      </c>
      <c r="M5" s="3796" t="s">
        <v>633</v>
      </c>
      <c r="N5" s="3796" t="s">
        <v>633</v>
      </c>
    </row>
    <row r="6" spans="1:14">
      <c r="A6" s="3794" t="s">
        <v>3382</v>
      </c>
      <c r="B6" s="3799">
        <f t="shared" si="0"/>
        <v>135.30000000000001</v>
      </c>
      <c r="C6" s="3796">
        <v>145.37</v>
      </c>
      <c r="D6" s="3796">
        <v>132.84</v>
      </c>
      <c r="E6" s="3796">
        <v>136.09</v>
      </c>
      <c r="F6" s="3796">
        <v>133.76</v>
      </c>
      <c r="G6" s="3796">
        <v>131.83000000000001</v>
      </c>
      <c r="H6" s="3796">
        <v>130.49</v>
      </c>
      <c r="I6" s="3796">
        <v>134.25</v>
      </c>
      <c r="J6" s="3796">
        <v>137.38999999999999</v>
      </c>
      <c r="K6" s="3796" t="s">
        <v>633</v>
      </c>
      <c r="L6" s="3796" t="s">
        <v>633</v>
      </c>
      <c r="M6" s="3796" t="s">
        <v>633</v>
      </c>
      <c r="N6" s="3796" t="s">
        <v>633</v>
      </c>
    </row>
    <row r="7" spans="1:14">
      <c r="A7" s="3794" t="s">
        <v>3383</v>
      </c>
      <c r="B7" s="3799">
        <f t="shared" si="0"/>
        <v>137.5</v>
      </c>
      <c r="C7" s="3796">
        <v>144.36000000000001</v>
      </c>
      <c r="D7" s="3796" t="s">
        <v>633</v>
      </c>
      <c r="E7" s="3796" t="s">
        <v>633</v>
      </c>
      <c r="F7" s="3796" t="s">
        <v>633</v>
      </c>
      <c r="G7" s="3796" t="s">
        <v>633</v>
      </c>
      <c r="H7" s="3796">
        <v>130.66</v>
      </c>
      <c r="I7" s="3796" t="s">
        <v>633</v>
      </c>
      <c r="J7" s="3796" t="s">
        <v>633</v>
      </c>
      <c r="K7" s="3796" t="s">
        <v>633</v>
      </c>
      <c r="L7" s="3796" t="s">
        <v>633</v>
      </c>
      <c r="M7" s="3796" t="s">
        <v>633</v>
      </c>
      <c r="N7" s="3796" t="s">
        <v>633</v>
      </c>
    </row>
    <row r="8" spans="1:14">
      <c r="A8" s="3794" t="s">
        <v>3384</v>
      </c>
      <c r="B8" s="3799">
        <f t="shared" si="0"/>
        <v>145.19999999999999</v>
      </c>
      <c r="C8" s="3796">
        <v>143.84</v>
      </c>
      <c r="D8" s="3796">
        <v>145.43</v>
      </c>
      <c r="E8" s="3796" t="s">
        <v>633</v>
      </c>
      <c r="F8" s="3796" t="s">
        <v>633</v>
      </c>
      <c r="G8" s="3796" t="s">
        <v>633</v>
      </c>
      <c r="H8" s="3796" t="s">
        <v>633</v>
      </c>
      <c r="I8" s="3796" t="s">
        <v>633</v>
      </c>
      <c r="J8" s="3796" t="s">
        <v>633</v>
      </c>
      <c r="K8" s="3796" t="s">
        <v>633</v>
      </c>
      <c r="L8" s="3796" t="s">
        <v>633</v>
      </c>
      <c r="M8" s="3796" t="s">
        <v>633</v>
      </c>
      <c r="N8" s="3796">
        <v>146.19999999999999</v>
      </c>
    </row>
    <row r="9" spans="1:14">
      <c r="A9" s="3794" t="s">
        <v>3385</v>
      </c>
      <c r="B9" s="3799">
        <f t="shared" si="0"/>
        <v>135.6</v>
      </c>
      <c r="C9" s="3796">
        <v>134.36000000000001</v>
      </c>
      <c r="D9" s="3796">
        <v>132.09</v>
      </c>
      <c r="E9" s="3796">
        <v>129.87</v>
      </c>
      <c r="F9" s="3796">
        <v>126.31</v>
      </c>
      <c r="G9" s="3796">
        <v>133.88999999999999</v>
      </c>
      <c r="H9" s="3796">
        <v>138.61000000000001</v>
      </c>
      <c r="I9" s="3796">
        <v>138.35</v>
      </c>
      <c r="J9" s="3796" t="s">
        <v>633</v>
      </c>
      <c r="K9" s="3796" t="s">
        <v>633</v>
      </c>
      <c r="L9" s="3796" t="s">
        <v>633</v>
      </c>
      <c r="M9" s="3796">
        <v>154.08000000000001</v>
      </c>
      <c r="N9" s="3796">
        <v>132.38999999999999</v>
      </c>
    </row>
    <row r="10" spans="1:14">
      <c r="A10" s="3794" t="s">
        <v>3386</v>
      </c>
      <c r="B10" s="3799">
        <f t="shared" si="0"/>
        <v>126.5</v>
      </c>
      <c r="C10" s="3796">
        <v>133.06</v>
      </c>
      <c r="D10" s="3796">
        <v>127.78</v>
      </c>
      <c r="E10" s="3796">
        <v>124.84</v>
      </c>
      <c r="F10" s="3796">
        <v>116.93</v>
      </c>
      <c r="G10" s="3796">
        <v>118.81</v>
      </c>
      <c r="H10" s="3796">
        <v>131.43</v>
      </c>
      <c r="I10" s="3796">
        <v>132.97999999999999</v>
      </c>
      <c r="J10" s="3796" t="s">
        <v>633</v>
      </c>
      <c r="K10" s="3796" t="s">
        <v>633</v>
      </c>
      <c r="L10" s="3796" t="s">
        <v>633</v>
      </c>
      <c r="M10" s="3796" t="s">
        <v>633</v>
      </c>
      <c r="N10" s="3796" t="s">
        <v>633</v>
      </c>
    </row>
    <row r="11" spans="1:14">
      <c r="A11" s="3794" t="s">
        <v>3387</v>
      </c>
      <c r="B11" s="3799">
        <f t="shared" si="0"/>
        <v>132.6</v>
      </c>
      <c r="C11" s="3796">
        <v>132.63999999999999</v>
      </c>
      <c r="D11" s="3796" t="s">
        <v>633</v>
      </c>
      <c r="E11" s="3796" t="s">
        <v>633</v>
      </c>
      <c r="F11" s="3796" t="s">
        <v>633</v>
      </c>
      <c r="G11" s="3796" t="s">
        <v>633</v>
      </c>
      <c r="H11" s="3796" t="s">
        <v>633</v>
      </c>
      <c r="I11" s="3796" t="s">
        <v>633</v>
      </c>
      <c r="J11" s="3796" t="s">
        <v>633</v>
      </c>
      <c r="K11" s="3796" t="s">
        <v>633</v>
      </c>
      <c r="L11" s="3796" t="s">
        <v>633</v>
      </c>
      <c r="M11" s="3796" t="s">
        <v>633</v>
      </c>
      <c r="N11" s="3796" t="s">
        <v>633</v>
      </c>
    </row>
    <row r="12" spans="1:14">
      <c r="A12" s="3800" t="s">
        <v>3388</v>
      </c>
      <c r="B12" s="3799">
        <f t="shared" si="0"/>
        <v>128.9</v>
      </c>
      <c r="C12" s="3796">
        <v>132.15</v>
      </c>
      <c r="D12" s="3796">
        <v>125.46</v>
      </c>
      <c r="E12" s="3796">
        <v>125.82</v>
      </c>
      <c r="F12" s="3796">
        <v>124.64</v>
      </c>
      <c r="G12" s="3796">
        <v>123.5</v>
      </c>
      <c r="H12" s="3796">
        <v>124.44</v>
      </c>
      <c r="I12" s="3796">
        <v>125.73</v>
      </c>
      <c r="J12" s="3796">
        <v>127.35</v>
      </c>
      <c r="K12" s="3796">
        <v>140.96</v>
      </c>
      <c r="L12" s="3796">
        <v>139.01</v>
      </c>
      <c r="M12" s="3796" t="s">
        <v>633</v>
      </c>
      <c r="N12" s="3796" t="s">
        <v>633</v>
      </c>
    </row>
    <row r="13" spans="1:14">
      <c r="A13" s="3794" t="s">
        <v>3389</v>
      </c>
      <c r="B13" s="3799">
        <f t="shared" si="0"/>
        <v>125.8</v>
      </c>
      <c r="C13" s="3796">
        <v>131.85</v>
      </c>
      <c r="D13" s="3796">
        <v>139.02000000000001</v>
      </c>
      <c r="E13" s="3796">
        <v>121.89</v>
      </c>
      <c r="F13" s="3796">
        <v>105.38</v>
      </c>
      <c r="G13" s="3796">
        <v>109.16</v>
      </c>
      <c r="H13" s="3796">
        <v>118.14</v>
      </c>
      <c r="I13" s="3796">
        <v>131.83000000000001</v>
      </c>
      <c r="J13" s="3796">
        <v>137.22</v>
      </c>
      <c r="K13" s="3796" t="s">
        <v>633</v>
      </c>
      <c r="L13" s="3796">
        <v>137.43</v>
      </c>
      <c r="M13" s="3796" t="s">
        <v>633</v>
      </c>
      <c r="N13" s="3796" t="s">
        <v>633</v>
      </c>
    </row>
    <row r="14" spans="1:14">
      <c r="A14" s="3794" t="s">
        <v>3390</v>
      </c>
      <c r="B14" s="3799">
        <f t="shared" si="0"/>
        <v>115.2</v>
      </c>
      <c r="C14" s="3796">
        <v>131.54</v>
      </c>
      <c r="D14" s="3796">
        <v>119.47</v>
      </c>
      <c r="E14" s="3796">
        <v>110.95</v>
      </c>
      <c r="F14" s="3796">
        <v>106.36</v>
      </c>
      <c r="G14" s="3796">
        <v>113.23</v>
      </c>
      <c r="H14" s="3796">
        <v>112.49</v>
      </c>
      <c r="I14" s="3796">
        <v>114.31</v>
      </c>
      <c r="J14" s="3796">
        <v>114.72</v>
      </c>
      <c r="K14" s="3796" t="s">
        <v>633</v>
      </c>
      <c r="L14" s="3796" t="s">
        <v>633</v>
      </c>
      <c r="M14" s="3796">
        <v>113.54</v>
      </c>
      <c r="N14" s="3796" t="s">
        <v>633</v>
      </c>
    </row>
    <row r="15" spans="1:14">
      <c r="A15" s="3794" t="s">
        <v>3391</v>
      </c>
      <c r="B15" s="3799">
        <f t="shared" si="0"/>
        <v>124.9</v>
      </c>
      <c r="C15" s="3796">
        <v>130.93</v>
      </c>
      <c r="D15" s="3796">
        <v>133.77000000000001</v>
      </c>
      <c r="E15" s="3796" t="s">
        <v>633</v>
      </c>
      <c r="F15" s="3796" t="s">
        <v>633</v>
      </c>
      <c r="G15" s="3796" t="s">
        <v>633</v>
      </c>
      <c r="H15" s="3796">
        <v>116.71</v>
      </c>
      <c r="I15" s="3796">
        <v>116.44</v>
      </c>
      <c r="J15" s="3796">
        <v>126.51</v>
      </c>
      <c r="K15" s="3796" t="s">
        <v>633</v>
      </c>
      <c r="L15" s="3796" t="s">
        <v>633</v>
      </c>
      <c r="M15" s="3796" t="s">
        <v>633</v>
      </c>
      <c r="N15" s="3796" t="s">
        <v>633</v>
      </c>
    </row>
    <row r="16" spans="1:14">
      <c r="A16" s="3800" t="s">
        <v>3392</v>
      </c>
      <c r="B16" s="3799">
        <f t="shared" si="0"/>
        <v>129.5</v>
      </c>
      <c r="C16" s="3796">
        <v>130.9</v>
      </c>
      <c r="D16" s="3796">
        <v>124</v>
      </c>
      <c r="E16" s="3796" t="s">
        <v>633</v>
      </c>
      <c r="F16" s="3796">
        <v>127.32</v>
      </c>
      <c r="G16" s="3796">
        <v>128.79</v>
      </c>
      <c r="H16" s="3796">
        <v>136.5</v>
      </c>
      <c r="I16" s="3796" t="s">
        <v>633</v>
      </c>
      <c r="J16" s="3796" t="s">
        <v>633</v>
      </c>
      <c r="K16" s="3796" t="s">
        <v>633</v>
      </c>
      <c r="L16" s="3796" t="s">
        <v>633</v>
      </c>
      <c r="M16" s="3796" t="s">
        <v>633</v>
      </c>
      <c r="N16" s="3796" t="s">
        <v>633</v>
      </c>
    </row>
    <row r="17" spans="1:14">
      <c r="A17" s="3794" t="s">
        <v>3393</v>
      </c>
      <c r="B17" s="3799">
        <f t="shared" si="0"/>
        <v>119.2</v>
      </c>
      <c r="C17" s="3796">
        <v>130.36000000000001</v>
      </c>
      <c r="D17" s="3796">
        <v>125.85</v>
      </c>
      <c r="E17" s="3796" t="s">
        <v>633</v>
      </c>
      <c r="F17" s="3796" t="s">
        <v>633</v>
      </c>
      <c r="G17" s="3796">
        <v>119.26</v>
      </c>
      <c r="H17" s="3796">
        <v>111.04</v>
      </c>
      <c r="I17" s="3796">
        <v>109.24</v>
      </c>
      <c r="J17" s="3796" t="s">
        <v>633</v>
      </c>
      <c r="K17" s="3796" t="s">
        <v>633</v>
      </c>
      <c r="L17" s="3796" t="s">
        <v>633</v>
      </c>
      <c r="M17" s="3796" t="s">
        <v>633</v>
      </c>
      <c r="N17" s="3796" t="s">
        <v>633</v>
      </c>
    </row>
    <row r="18" spans="1:14">
      <c r="A18" s="3794" t="s">
        <v>3394</v>
      </c>
      <c r="B18" s="3799">
        <f t="shared" si="0"/>
        <v>129.19999999999999</v>
      </c>
      <c r="C18" s="3796">
        <v>129.91</v>
      </c>
      <c r="D18" s="3796">
        <v>127.38</v>
      </c>
      <c r="E18" s="3796">
        <v>127.63</v>
      </c>
      <c r="F18" s="3796">
        <v>124.44</v>
      </c>
      <c r="G18" s="3796">
        <v>124.78</v>
      </c>
      <c r="H18" s="3796">
        <v>132.33000000000001</v>
      </c>
      <c r="I18" s="3796">
        <v>133.03</v>
      </c>
      <c r="J18" s="3796">
        <v>134.08000000000001</v>
      </c>
      <c r="K18" s="3796" t="s">
        <v>633</v>
      </c>
      <c r="L18" s="3796" t="s">
        <v>633</v>
      </c>
      <c r="M18" s="3796" t="s">
        <v>633</v>
      </c>
      <c r="N18" s="3796" t="s">
        <v>633</v>
      </c>
    </row>
    <row r="19" spans="1:14">
      <c r="A19" s="3800" t="s">
        <v>3395</v>
      </c>
      <c r="B19" s="3801">
        <f t="shared" si="0"/>
        <v>117.6</v>
      </c>
      <c r="C19" s="3796">
        <v>129.78</v>
      </c>
      <c r="D19" s="3796">
        <v>121.99</v>
      </c>
      <c r="E19" s="3796">
        <v>114.73</v>
      </c>
      <c r="F19" s="3796">
        <v>110.84</v>
      </c>
      <c r="G19" s="3796">
        <v>114.15</v>
      </c>
      <c r="H19" s="3796">
        <v>116.96</v>
      </c>
      <c r="I19" s="3796">
        <v>114.32</v>
      </c>
      <c r="J19" s="3796">
        <v>118.31</v>
      </c>
      <c r="K19" s="3796" t="s">
        <v>633</v>
      </c>
      <c r="L19" s="3796" t="s">
        <v>633</v>
      </c>
      <c r="M19" s="3796" t="s">
        <v>633</v>
      </c>
      <c r="N19" s="3796" t="s">
        <v>633</v>
      </c>
    </row>
    <row r="20" spans="1:14">
      <c r="A20" s="3794" t="s">
        <v>3396</v>
      </c>
      <c r="B20" s="3799">
        <f t="shared" si="0"/>
        <v>133.1</v>
      </c>
      <c r="C20" s="3796">
        <v>129.31</v>
      </c>
      <c r="D20" s="3796">
        <v>136.84</v>
      </c>
      <c r="E20" s="3796">
        <v>133.56</v>
      </c>
      <c r="F20" s="3796">
        <v>130.81</v>
      </c>
      <c r="G20" s="3796">
        <v>131.53</v>
      </c>
      <c r="H20" s="3796">
        <v>131.71</v>
      </c>
      <c r="I20" s="3796">
        <v>134.41</v>
      </c>
      <c r="J20" s="3796">
        <v>136.85</v>
      </c>
      <c r="K20" s="3796" t="s">
        <v>633</v>
      </c>
      <c r="L20" s="3796" t="s">
        <v>633</v>
      </c>
      <c r="M20" s="3796" t="s">
        <v>633</v>
      </c>
      <c r="N20" s="3796" t="s">
        <v>633</v>
      </c>
    </row>
    <row r="21" spans="1:14">
      <c r="A21" s="3794" t="s">
        <v>3397</v>
      </c>
      <c r="B21" s="3799">
        <f t="shared" si="0"/>
        <v>127.3</v>
      </c>
      <c r="C21" s="3796">
        <v>129.13</v>
      </c>
      <c r="D21" s="3796">
        <v>135.19999999999999</v>
      </c>
      <c r="E21" s="3796">
        <v>130.69999999999999</v>
      </c>
      <c r="F21" s="3796">
        <v>124.92</v>
      </c>
      <c r="G21" s="3796">
        <v>125.94</v>
      </c>
      <c r="H21" s="3796">
        <v>129.15</v>
      </c>
      <c r="I21" s="3796">
        <v>129.4</v>
      </c>
      <c r="J21" s="3796">
        <v>124.56</v>
      </c>
      <c r="K21" s="3796">
        <v>119.19</v>
      </c>
      <c r="L21" s="3796">
        <v>126.15</v>
      </c>
      <c r="M21" s="3796">
        <v>126.18</v>
      </c>
      <c r="N21" s="3796">
        <v>127.28</v>
      </c>
    </row>
    <row r="22" spans="1:14">
      <c r="A22" s="3794" t="s">
        <v>3398</v>
      </c>
      <c r="B22" s="3799">
        <f t="shared" si="0"/>
        <v>123.2</v>
      </c>
      <c r="C22" s="3796">
        <v>127.4</v>
      </c>
      <c r="D22" s="3796">
        <v>128.81</v>
      </c>
      <c r="E22" s="3796">
        <v>125.28</v>
      </c>
      <c r="F22" s="3796">
        <v>120.66</v>
      </c>
      <c r="G22" s="3796">
        <v>117.12</v>
      </c>
      <c r="H22" s="3796">
        <v>119.77</v>
      </c>
      <c r="I22" s="3796">
        <v>123.17</v>
      </c>
      <c r="J22" s="3796">
        <v>125.25</v>
      </c>
      <c r="K22" s="3796">
        <v>121.94</v>
      </c>
      <c r="L22" s="3796">
        <v>123.67</v>
      </c>
      <c r="M22" s="3796">
        <v>126.3</v>
      </c>
      <c r="N22" s="3796">
        <v>119.5</v>
      </c>
    </row>
    <row r="23" spans="1:14">
      <c r="A23" s="3794" t="s">
        <v>3399</v>
      </c>
      <c r="B23" s="3799">
        <f t="shared" si="0"/>
        <v>118.5</v>
      </c>
      <c r="C23" s="3796">
        <v>126.36</v>
      </c>
      <c r="D23" s="3796">
        <v>124.97</v>
      </c>
      <c r="E23" s="3796">
        <v>122.45</v>
      </c>
      <c r="F23" s="3796">
        <v>129.21</v>
      </c>
      <c r="G23" s="3796">
        <v>125.89</v>
      </c>
      <c r="H23" s="3796">
        <v>121.22</v>
      </c>
      <c r="I23" s="3796">
        <v>117.19</v>
      </c>
      <c r="J23" s="3796">
        <v>109.47</v>
      </c>
      <c r="K23" s="3796">
        <v>104.37</v>
      </c>
      <c r="L23" s="3796">
        <v>103.75</v>
      </c>
      <c r="M23" s="3796" t="s">
        <v>633</v>
      </c>
      <c r="N23" s="3796" t="s">
        <v>633</v>
      </c>
    </row>
    <row r="24" spans="1:14">
      <c r="A24" s="3794" t="s">
        <v>3400</v>
      </c>
      <c r="B24" s="3799">
        <f t="shared" si="0"/>
        <v>122</v>
      </c>
      <c r="C24" s="3796">
        <v>124.88</v>
      </c>
      <c r="D24" s="3796">
        <v>122.27</v>
      </c>
      <c r="E24" s="3796">
        <v>120.82</v>
      </c>
      <c r="F24" s="3796">
        <v>116.48</v>
      </c>
      <c r="G24" s="3796">
        <v>116.51</v>
      </c>
      <c r="H24" s="3796">
        <v>121.01</v>
      </c>
      <c r="I24" s="3796">
        <v>126.09</v>
      </c>
      <c r="J24" s="3796">
        <v>128.75</v>
      </c>
      <c r="K24" s="3796">
        <v>123.45</v>
      </c>
      <c r="L24" s="3796" t="s">
        <v>633</v>
      </c>
      <c r="M24" s="3796">
        <v>120.19</v>
      </c>
      <c r="N24" s="3796" t="s">
        <v>633</v>
      </c>
    </row>
    <row r="25" spans="1:14">
      <c r="A25" s="3794" t="s">
        <v>3401</v>
      </c>
      <c r="B25" s="3799">
        <f t="shared" si="0"/>
        <v>129.30000000000001</v>
      </c>
      <c r="C25" s="3796">
        <v>124.63</v>
      </c>
      <c r="D25" s="3796">
        <v>124.73</v>
      </c>
      <c r="E25" s="3796">
        <v>129.13999999999999</v>
      </c>
      <c r="F25" s="3796">
        <v>139.66999999999999</v>
      </c>
      <c r="G25" s="3796">
        <v>139.88999999999999</v>
      </c>
      <c r="H25" s="3796">
        <v>133.76</v>
      </c>
      <c r="I25" s="3796">
        <v>122.63</v>
      </c>
      <c r="J25" s="3796">
        <v>119.69</v>
      </c>
      <c r="K25" s="3796" t="s">
        <v>633</v>
      </c>
      <c r="L25" s="3796" t="s">
        <v>633</v>
      </c>
      <c r="M25" s="3796" t="s">
        <v>633</v>
      </c>
      <c r="N25" s="3796" t="s">
        <v>633</v>
      </c>
    </row>
    <row r="26" spans="1:14">
      <c r="A26" s="3794" t="s">
        <v>3402</v>
      </c>
      <c r="B26" s="3799">
        <f t="shared" si="0"/>
        <v>119.6</v>
      </c>
      <c r="C26" s="3796">
        <v>124.39</v>
      </c>
      <c r="D26" s="3796" t="s">
        <v>633</v>
      </c>
      <c r="E26" s="3796">
        <v>115.56</v>
      </c>
      <c r="F26" s="3796">
        <v>118.89</v>
      </c>
      <c r="G26" s="3796" t="s">
        <v>633</v>
      </c>
      <c r="H26" s="3796" t="s">
        <v>633</v>
      </c>
      <c r="I26" s="3796" t="s">
        <v>633</v>
      </c>
      <c r="J26" s="3796" t="s">
        <v>633</v>
      </c>
      <c r="K26" s="3796" t="s">
        <v>633</v>
      </c>
      <c r="L26" s="3796" t="s">
        <v>633</v>
      </c>
      <c r="M26" s="3796" t="s">
        <v>633</v>
      </c>
      <c r="N26" s="3796" t="s">
        <v>633</v>
      </c>
    </row>
    <row r="27" spans="1:14">
      <c r="A27" s="3800" t="s">
        <v>3403</v>
      </c>
      <c r="B27" s="3799">
        <f t="shared" si="0"/>
        <v>125.2</v>
      </c>
      <c r="C27" s="3796">
        <v>123.94</v>
      </c>
      <c r="D27" s="3796">
        <v>118.27</v>
      </c>
      <c r="E27" s="3796">
        <v>117.95</v>
      </c>
      <c r="F27" s="3796">
        <v>121.91</v>
      </c>
      <c r="G27" s="3796">
        <v>122.77</v>
      </c>
      <c r="H27" s="3796">
        <v>125.86</v>
      </c>
      <c r="I27" s="3796">
        <v>128.76</v>
      </c>
      <c r="J27" s="3796">
        <v>126.97</v>
      </c>
      <c r="K27" s="3796">
        <v>128.34</v>
      </c>
      <c r="L27" s="3796">
        <v>130.52000000000001</v>
      </c>
      <c r="M27" s="3796">
        <v>131.55000000000001</v>
      </c>
      <c r="N27" s="3796">
        <v>126.04</v>
      </c>
    </row>
    <row r="28" spans="1:14">
      <c r="A28" s="3794" t="s">
        <v>3404</v>
      </c>
      <c r="B28" s="3799">
        <f t="shared" si="0"/>
        <v>111.6</v>
      </c>
      <c r="C28" s="3796">
        <v>123.58</v>
      </c>
      <c r="D28" s="3796">
        <v>117.87</v>
      </c>
      <c r="E28" s="3796" t="s">
        <v>633</v>
      </c>
      <c r="F28" s="3796" t="s">
        <v>633</v>
      </c>
      <c r="G28" s="3796">
        <v>102.06</v>
      </c>
      <c r="H28" s="3796">
        <v>102.75</v>
      </c>
      <c r="I28" s="3796" t="s">
        <v>633</v>
      </c>
      <c r="J28" s="3796" t="s">
        <v>633</v>
      </c>
      <c r="K28" s="3796" t="s">
        <v>633</v>
      </c>
      <c r="L28" s="3796" t="s">
        <v>633</v>
      </c>
      <c r="M28" s="3796" t="s">
        <v>633</v>
      </c>
      <c r="N28" s="3796" t="s">
        <v>633</v>
      </c>
    </row>
    <row r="29" spans="1:14">
      <c r="A29" s="3794" t="s">
        <v>3405</v>
      </c>
      <c r="B29" s="3799">
        <f t="shared" si="0"/>
        <v>118</v>
      </c>
      <c r="C29" s="3796">
        <v>123.01</v>
      </c>
      <c r="D29" s="3796">
        <v>120.11</v>
      </c>
      <c r="E29" s="3796">
        <v>115.27</v>
      </c>
      <c r="F29" s="3796">
        <v>114.25</v>
      </c>
      <c r="G29" s="3796">
        <v>116.56</v>
      </c>
      <c r="H29" s="3796">
        <v>116.96</v>
      </c>
      <c r="I29" s="3796">
        <v>116.23</v>
      </c>
      <c r="J29" s="3796">
        <v>117.29</v>
      </c>
      <c r="K29" s="3796">
        <v>113.2</v>
      </c>
      <c r="L29" s="3796">
        <v>117.88</v>
      </c>
      <c r="M29" s="3796">
        <v>126.16</v>
      </c>
      <c r="N29" s="3796">
        <v>119.24</v>
      </c>
    </row>
    <row r="30" spans="1:14">
      <c r="A30" s="3794" t="s">
        <v>3406</v>
      </c>
      <c r="B30" s="3799">
        <f t="shared" si="0"/>
        <v>120.5</v>
      </c>
      <c r="C30" s="3796">
        <v>122.98</v>
      </c>
      <c r="D30" s="3796">
        <v>122.26</v>
      </c>
      <c r="E30" s="3796">
        <v>119.03</v>
      </c>
      <c r="F30" s="3796">
        <v>116.03</v>
      </c>
      <c r="G30" s="3796">
        <v>116.64</v>
      </c>
      <c r="H30" s="3796">
        <v>117.96</v>
      </c>
      <c r="I30" s="3796">
        <v>121.72</v>
      </c>
      <c r="J30" s="3796">
        <v>124.66</v>
      </c>
      <c r="K30" s="3796">
        <v>121.22</v>
      </c>
      <c r="L30" s="3796">
        <v>124.98</v>
      </c>
      <c r="M30" s="3796">
        <v>120.92</v>
      </c>
      <c r="N30" s="3796">
        <v>117.84</v>
      </c>
    </row>
    <row r="31" spans="1:14">
      <c r="A31" s="3794" t="s">
        <v>3407</v>
      </c>
      <c r="B31" s="3799">
        <f t="shared" si="0"/>
        <v>120.3</v>
      </c>
      <c r="C31" s="3796">
        <v>122.79</v>
      </c>
      <c r="D31" s="3796">
        <v>123.36</v>
      </c>
      <c r="E31" s="3796">
        <v>124.56</v>
      </c>
      <c r="F31" s="3796">
        <v>117.76</v>
      </c>
      <c r="G31" s="3796">
        <v>119.59</v>
      </c>
      <c r="H31" s="3796">
        <v>121.47</v>
      </c>
      <c r="I31" s="3796">
        <v>111.66</v>
      </c>
      <c r="J31" s="3796" t="s">
        <v>633</v>
      </c>
      <c r="K31" s="3796" t="s">
        <v>633</v>
      </c>
      <c r="L31" s="3796" t="s">
        <v>633</v>
      </c>
      <c r="M31" s="3796" t="s">
        <v>633</v>
      </c>
      <c r="N31" s="3796">
        <v>121.11</v>
      </c>
    </row>
    <row r="32" spans="1:14">
      <c r="A32" s="3800" t="s">
        <v>3408</v>
      </c>
      <c r="B32" s="3799">
        <f t="shared" si="0"/>
        <v>121.4</v>
      </c>
      <c r="C32" s="3796">
        <v>122.75</v>
      </c>
      <c r="D32" s="3796">
        <v>122.9</v>
      </c>
      <c r="E32" s="3796" t="s">
        <v>633</v>
      </c>
      <c r="F32" s="3796">
        <v>111.51</v>
      </c>
      <c r="G32" s="3796">
        <v>118.08</v>
      </c>
      <c r="H32" s="3796">
        <v>126.18</v>
      </c>
      <c r="I32" s="3796">
        <v>128.15</v>
      </c>
      <c r="J32" s="3796">
        <v>123.37</v>
      </c>
      <c r="K32" s="3796" t="s">
        <v>633</v>
      </c>
      <c r="L32" s="3796">
        <v>118.1</v>
      </c>
      <c r="M32" s="3796" t="s">
        <v>633</v>
      </c>
      <c r="N32" s="3796" t="s">
        <v>633</v>
      </c>
    </row>
    <row r="33" spans="1:14">
      <c r="A33" s="3794" t="s">
        <v>3409</v>
      </c>
      <c r="B33" s="3799">
        <f t="shared" si="0"/>
        <v>116</v>
      </c>
      <c r="C33" s="3796">
        <v>122.12</v>
      </c>
      <c r="D33" s="3796">
        <v>126.23</v>
      </c>
      <c r="E33" s="3796">
        <v>117.14</v>
      </c>
      <c r="F33" s="3796">
        <v>109.22</v>
      </c>
      <c r="G33" s="3796">
        <v>106.59</v>
      </c>
      <c r="H33" s="3796">
        <v>104.04</v>
      </c>
      <c r="I33" s="3796">
        <v>112.59</v>
      </c>
      <c r="J33" s="3796">
        <v>119.44</v>
      </c>
      <c r="K33" s="3796">
        <v>121.03</v>
      </c>
      <c r="L33" s="3796">
        <v>119.05</v>
      </c>
      <c r="M33" s="3796">
        <v>118.95</v>
      </c>
      <c r="N33" s="3796">
        <v>115.89</v>
      </c>
    </row>
    <row r="34" spans="1:14">
      <c r="A34" s="3794" t="s">
        <v>3410</v>
      </c>
      <c r="B34" s="3799">
        <f t="shared" si="0"/>
        <v>121.3</v>
      </c>
      <c r="C34" s="3796">
        <v>119.72</v>
      </c>
      <c r="D34" s="3796">
        <v>122.91</v>
      </c>
      <c r="E34" s="3796" t="s">
        <v>633</v>
      </c>
      <c r="F34" s="3796" t="s">
        <v>633</v>
      </c>
      <c r="G34" s="3796" t="s">
        <v>633</v>
      </c>
      <c r="H34" s="3796" t="s">
        <v>633</v>
      </c>
      <c r="I34" s="3796" t="s">
        <v>633</v>
      </c>
      <c r="J34" s="3796" t="s">
        <v>633</v>
      </c>
      <c r="K34" s="3796" t="s">
        <v>633</v>
      </c>
      <c r="L34" s="3796" t="s">
        <v>633</v>
      </c>
      <c r="M34" s="3796" t="s">
        <v>633</v>
      </c>
      <c r="N34" s="3796" t="s">
        <v>633</v>
      </c>
    </row>
    <row r="35" spans="1:14">
      <c r="A35" s="3794" t="s">
        <v>3411</v>
      </c>
      <c r="B35" s="3799">
        <f t="shared" si="0"/>
        <v>124</v>
      </c>
      <c r="C35" s="3796">
        <v>119.71</v>
      </c>
      <c r="D35" s="3796">
        <v>114.66</v>
      </c>
      <c r="E35" s="3796">
        <v>113.21</v>
      </c>
      <c r="F35" s="3796">
        <v>107.49</v>
      </c>
      <c r="G35" s="3796">
        <v>114.82</v>
      </c>
      <c r="H35" s="3796">
        <v>130.25</v>
      </c>
      <c r="I35" s="3796">
        <v>141.18</v>
      </c>
      <c r="J35" s="3796">
        <v>150.44999999999999</v>
      </c>
      <c r="K35" s="3796" t="s">
        <v>633</v>
      </c>
      <c r="L35" s="3796" t="s">
        <v>633</v>
      </c>
      <c r="M35" s="3796" t="s">
        <v>633</v>
      </c>
      <c r="N35" s="3796" t="s">
        <v>633</v>
      </c>
    </row>
    <row r="36" spans="1:14">
      <c r="A36" s="3794" t="s">
        <v>3412</v>
      </c>
      <c r="B36" s="3799">
        <f t="shared" si="0"/>
        <v>118.6</v>
      </c>
      <c r="C36" s="3796">
        <v>119.38</v>
      </c>
      <c r="D36" s="3796">
        <v>119.02</v>
      </c>
      <c r="E36" s="3796">
        <v>115.4</v>
      </c>
      <c r="F36" s="3796">
        <v>113.14</v>
      </c>
      <c r="G36" s="3796">
        <v>113.89</v>
      </c>
      <c r="H36" s="3796">
        <v>116.36</v>
      </c>
      <c r="I36" s="3796">
        <v>119.43</v>
      </c>
      <c r="J36" s="3796">
        <v>123.57</v>
      </c>
      <c r="K36" s="3796">
        <v>123.52</v>
      </c>
      <c r="L36" s="3796">
        <v>122.52</v>
      </c>
      <c r="M36" s="3796">
        <v>121.77</v>
      </c>
      <c r="N36" s="3796">
        <v>115.5</v>
      </c>
    </row>
    <row r="37" spans="1:14">
      <c r="A37" s="3794" t="s">
        <v>3413</v>
      </c>
      <c r="B37" s="3799">
        <f t="shared" si="0"/>
        <v>123.5</v>
      </c>
      <c r="C37" s="3796">
        <v>119.24</v>
      </c>
      <c r="D37" s="3796">
        <v>126.77</v>
      </c>
      <c r="E37" s="3796">
        <v>125.21</v>
      </c>
      <c r="F37" s="3796">
        <v>125.17</v>
      </c>
      <c r="G37" s="3796">
        <v>123.33</v>
      </c>
      <c r="H37" s="3796">
        <v>123.06</v>
      </c>
      <c r="I37" s="3796">
        <v>124.07</v>
      </c>
      <c r="J37" s="3796">
        <v>121.33</v>
      </c>
      <c r="K37" s="3796" t="s">
        <v>633</v>
      </c>
      <c r="L37" s="3796" t="s">
        <v>633</v>
      </c>
      <c r="M37" s="3796" t="s">
        <v>633</v>
      </c>
      <c r="N37" s="3796" t="s">
        <v>633</v>
      </c>
    </row>
    <row r="38" spans="1:14">
      <c r="A38" s="3794" t="s">
        <v>3414</v>
      </c>
      <c r="B38" s="3799">
        <f t="shared" si="0"/>
        <v>117.6</v>
      </c>
      <c r="C38" s="3796">
        <v>119.22</v>
      </c>
      <c r="D38" s="3796">
        <v>119.18</v>
      </c>
      <c r="E38" s="3796">
        <v>117.73</v>
      </c>
      <c r="F38" s="3796">
        <v>111.07</v>
      </c>
      <c r="G38" s="3796">
        <v>108.5</v>
      </c>
      <c r="H38" s="3796">
        <v>110.9</v>
      </c>
      <c r="I38" s="3796">
        <v>115.61</v>
      </c>
      <c r="J38" s="3796">
        <v>121.16</v>
      </c>
      <c r="K38" s="3796">
        <v>122.23</v>
      </c>
      <c r="L38" s="3796">
        <v>118.18</v>
      </c>
      <c r="M38" s="3796">
        <v>130.13</v>
      </c>
      <c r="N38" s="3796" t="s">
        <v>633</v>
      </c>
    </row>
    <row r="39" spans="1:14">
      <c r="A39" s="3794" t="s">
        <v>3415</v>
      </c>
      <c r="B39" s="3799">
        <f t="shared" si="0"/>
        <v>118</v>
      </c>
      <c r="C39" s="3796">
        <v>118.97</v>
      </c>
      <c r="D39" s="3796">
        <v>114.53</v>
      </c>
      <c r="E39" s="3796">
        <v>113.33</v>
      </c>
      <c r="F39" s="3796">
        <v>114.9</v>
      </c>
      <c r="G39" s="3796">
        <v>124.35</v>
      </c>
      <c r="H39" s="3796">
        <v>117.34</v>
      </c>
      <c r="I39" s="3796">
        <v>118.3</v>
      </c>
      <c r="J39" s="3796">
        <v>126.14</v>
      </c>
      <c r="K39" s="3796">
        <v>109.07</v>
      </c>
      <c r="L39" s="3796">
        <v>118.66</v>
      </c>
      <c r="M39" s="3796">
        <v>122.47</v>
      </c>
      <c r="N39" s="3796" t="s">
        <v>633</v>
      </c>
    </row>
    <row r="40" spans="1:14">
      <c r="A40" s="3794" t="s">
        <v>3416</v>
      </c>
      <c r="B40" s="3799">
        <f t="shared" si="0"/>
        <v>111.8</v>
      </c>
      <c r="C40" s="3796">
        <v>118.87</v>
      </c>
      <c r="D40" s="3796">
        <v>117.12</v>
      </c>
      <c r="E40" s="3796">
        <v>105.08</v>
      </c>
      <c r="F40" s="3796">
        <v>101.49</v>
      </c>
      <c r="G40" s="3796">
        <v>110.91</v>
      </c>
      <c r="H40" s="3796">
        <v>116.39</v>
      </c>
      <c r="I40" s="3796">
        <v>112.99</v>
      </c>
      <c r="J40" s="3796" t="s">
        <v>633</v>
      </c>
      <c r="K40" s="3796" t="s">
        <v>633</v>
      </c>
      <c r="L40" s="3796" t="s">
        <v>633</v>
      </c>
      <c r="M40" s="3796" t="s">
        <v>633</v>
      </c>
      <c r="N40" s="3796" t="s">
        <v>633</v>
      </c>
    </row>
    <row r="41" spans="1:14">
      <c r="A41" s="3794" t="s">
        <v>3417</v>
      </c>
      <c r="B41" s="3799">
        <f t="shared" si="0"/>
        <v>110.2</v>
      </c>
      <c r="C41" s="3796">
        <v>118.4</v>
      </c>
      <c r="D41" s="3796">
        <v>115.65</v>
      </c>
      <c r="E41" s="3796">
        <v>109.5</v>
      </c>
      <c r="F41" s="3796">
        <v>103.5</v>
      </c>
      <c r="G41" s="3796">
        <v>102.97</v>
      </c>
      <c r="H41" s="3796">
        <v>107.44</v>
      </c>
      <c r="I41" s="3796">
        <v>109.63</v>
      </c>
      <c r="J41" s="3796">
        <v>110.75</v>
      </c>
      <c r="K41" s="3796">
        <v>108.98</v>
      </c>
      <c r="L41" s="3796">
        <v>110.77</v>
      </c>
      <c r="M41" s="3796">
        <v>117.53</v>
      </c>
      <c r="N41" s="3796">
        <v>107.15</v>
      </c>
    </row>
    <row r="42" spans="1:14">
      <c r="A42" s="3794" t="s">
        <v>3418</v>
      </c>
      <c r="B42" s="3799">
        <f t="shared" si="0"/>
        <v>111.1</v>
      </c>
      <c r="C42" s="3796">
        <v>118</v>
      </c>
      <c r="D42" s="3796">
        <v>110.53</v>
      </c>
      <c r="E42" s="3796">
        <v>105.93</v>
      </c>
      <c r="F42" s="3796">
        <v>107.77</v>
      </c>
      <c r="G42" s="3796">
        <v>110.33</v>
      </c>
      <c r="H42" s="3796">
        <v>110.4</v>
      </c>
      <c r="I42" s="3796">
        <v>110.8</v>
      </c>
      <c r="J42" s="3796">
        <v>114.52</v>
      </c>
      <c r="K42" s="3796">
        <v>107.56</v>
      </c>
      <c r="L42" s="3796">
        <v>114.87</v>
      </c>
      <c r="M42" s="3796" t="s">
        <v>633</v>
      </c>
      <c r="N42" s="3796" t="s">
        <v>633</v>
      </c>
    </row>
    <row r="43" spans="1:14">
      <c r="A43" s="3794" t="s">
        <v>3419</v>
      </c>
      <c r="B43" s="3799">
        <f t="shared" si="0"/>
        <v>120.8</v>
      </c>
      <c r="C43" s="3796">
        <v>117.95</v>
      </c>
      <c r="D43" s="3796">
        <v>114.16</v>
      </c>
      <c r="E43" s="3796">
        <v>113.94</v>
      </c>
      <c r="F43" s="3796">
        <v>119.27</v>
      </c>
      <c r="G43" s="3796">
        <v>118.51</v>
      </c>
      <c r="H43" s="3796">
        <v>119.84</v>
      </c>
      <c r="I43" s="3796">
        <v>117.11</v>
      </c>
      <c r="J43" s="3796">
        <v>134.05000000000001</v>
      </c>
      <c r="K43" s="3796" t="s">
        <v>633</v>
      </c>
      <c r="L43" s="3796">
        <v>132.35</v>
      </c>
      <c r="M43" s="3796" t="s">
        <v>633</v>
      </c>
      <c r="N43" s="3796" t="s">
        <v>633</v>
      </c>
    </row>
    <row r="44" spans="1:14">
      <c r="A44" s="3794" t="s">
        <v>3420</v>
      </c>
      <c r="B44" s="3799">
        <f t="shared" si="0"/>
        <v>104.2</v>
      </c>
      <c r="C44" s="3796">
        <v>117.9</v>
      </c>
      <c r="D44" s="3796">
        <v>115.43</v>
      </c>
      <c r="E44" s="3796">
        <v>95.26</v>
      </c>
      <c r="F44" s="3796">
        <v>93.74</v>
      </c>
      <c r="G44" s="3796" t="s">
        <v>633</v>
      </c>
      <c r="H44" s="3796">
        <v>98.7</v>
      </c>
      <c r="I44" s="3796" t="s">
        <v>633</v>
      </c>
      <c r="J44" s="3796" t="s">
        <v>633</v>
      </c>
      <c r="K44" s="3796" t="s">
        <v>633</v>
      </c>
      <c r="L44" s="3796" t="s">
        <v>633</v>
      </c>
      <c r="M44" s="3796" t="s">
        <v>633</v>
      </c>
      <c r="N44" s="3796" t="s">
        <v>633</v>
      </c>
    </row>
    <row r="45" spans="1:14">
      <c r="A45" s="3794" t="s">
        <v>3421</v>
      </c>
      <c r="B45" s="3799">
        <f t="shared" si="0"/>
        <v>130.9</v>
      </c>
      <c r="C45" s="3796">
        <v>116.79</v>
      </c>
      <c r="D45" s="3796">
        <v>129.53</v>
      </c>
      <c r="E45" s="3796">
        <v>131.33000000000001</v>
      </c>
      <c r="F45" s="3796">
        <v>144.44</v>
      </c>
      <c r="G45" s="3796">
        <v>146.69999999999999</v>
      </c>
      <c r="H45" s="3796">
        <v>140.68</v>
      </c>
      <c r="I45" s="3796">
        <v>122.55</v>
      </c>
      <c r="J45" s="3796">
        <v>129.06</v>
      </c>
      <c r="K45" s="3796" t="s">
        <v>633</v>
      </c>
      <c r="L45" s="3796">
        <v>117.26</v>
      </c>
      <c r="M45" s="3796" t="s">
        <v>633</v>
      </c>
      <c r="N45" s="3796" t="s">
        <v>633</v>
      </c>
    </row>
    <row r="46" spans="1:14">
      <c r="A46" s="3794" t="s">
        <v>3422</v>
      </c>
      <c r="B46" s="3799">
        <f t="shared" si="0"/>
        <v>111.5</v>
      </c>
      <c r="C46" s="3796">
        <v>116.18</v>
      </c>
      <c r="D46" s="3796">
        <v>115.07</v>
      </c>
      <c r="E46" s="3796">
        <v>115.81</v>
      </c>
      <c r="F46" s="3796">
        <v>114.53</v>
      </c>
      <c r="G46" s="3796">
        <v>107.46</v>
      </c>
      <c r="H46" s="3796">
        <v>107.26</v>
      </c>
      <c r="I46" s="3796">
        <v>107.38</v>
      </c>
      <c r="J46" s="3796">
        <v>108.7</v>
      </c>
      <c r="K46" s="3796" t="s">
        <v>633</v>
      </c>
      <c r="L46" s="3796" t="s">
        <v>633</v>
      </c>
      <c r="M46" s="3796" t="s">
        <v>633</v>
      </c>
      <c r="N46" s="3796" t="s">
        <v>633</v>
      </c>
    </row>
    <row r="47" spans="1:14" s="3795" customFormat="1">
      <c r="A47" s="3795" t="s">
        <v>3423</v>
      </c>
      <c r="B47" s="3798">
        <f>ROUND(AVERAGE(C47:N47),1)</f>
        <v>116.9</v>
      </c>
      <c r="C47" s="3798">
        <v>115.15</v>
      </c>
      <c r="D47" s="3798">
        <v>110</v>
      </c>
      <c r="E47" s="3798">
        <v>110.04</v>
      </c>
      <c r="F47" s="3798">
        <v>114.49</v>
      </c>
      <c r="G47" s="3798">
        <v>115.56</v>
      </c>
      <c r="H47" s="3798">
        <v>117.77</v>
      </c>
      <c r="I47" s="3798">
        <v>121.84</v>
      </c>
      <c r="J47" s="3798">
        <v>123.88</v>
      </c>
      <c r="K47" s="3798">
        <v>120.39</v>
      </c>
      <c r="L47" s="3798">
        <v>127.35</v>
      </c>
      <c r="M47" s="3798">
        <v>120.68</v>
      </c>
      <c r="N47" s="3798">
        <v>105.31</v>
      </c>
    </row>
    <row r="48" spans="1:14">
      <c r="A48" s="3794" t="s">
        <v>3424</v>
      </c>
      <c r="B48" s="3799">
        <f t="shared" ref="B48:B63" si="1">ROUND(AVERAGE(C48:N48),1)</f>
        <v>116.8</v>
      </c>
      <c r="C48" s="3796">
        <v>114.6</v>
      </c>
      <c r="D48" s="3796">
        <v>116.91</v>
      </c>
      <c r="E48" s="3796">
        <v>116.62</v>
      </c>
      <c r="F48" s="3796">
        <v>115.5</v>
      </c>
      <c r="G48" s="3796">
        <v>115.48</v>
      </c>
      <c r="H48" s="3796">
        <v>115.92</v>
      </c>
      <c r="I48" s="3796">
        <v>114.81</v>
      </c>
      <c r="J48" s="3796">
        <v>124.39</v>
      </c>
      <c r="K48" s="3796" t="s">
        <v>633</v>
      </c>
      <c r="L48" s="3796" t="s">
        <v>633</v>
      </c>
      <c r="M48" s="3796" t="s">
        <v>633</v>
      </c>
      <c r="N48" s="3796" t="s">
        <v>633</v>
      </c>
    </row>
    <row r="49" spans="1:14">
      <c r="A49" s="3794" t="s">
        <v>3425</v>
      </c>
      <c r="B49" s="3799">
        <f t="shared" si="1"/>
        <v>111</v>
      </c>
      <c r="C49" s="3796">
        <v>114.58</v>
      </c>
      <c r="D49" s="3796" t="s">
        <v>633</v>
      </c>
      <c r="E49" s="3796" t="s">
        <v>633</v>
      </c>
      <c r="F49" s="3796" t="s">
        <v>633</v>
      </c>
      <c r="G49" s="3796" t="s">
        <v>633</v>
      </c>
      <c r="H49" s="3796">
        <v>120.6</v>
      </c>
      <c r="I49" s="3796">
        <v>111.08</v>
      </c>
      <c r="J49" s="3796">
        <v>104.95</v>
      </c>
      <c r="K49" s="3796">
        <v>107.31</v>
      </c>
      <c r="L49" s="3796">
        <v>107.33</v>
      </c>
      <c r="M49" s="3796" t="s">
        <v>633</v>
      </c>
      <c r="N49" s="3796" t="s">
        <v>633</v>
      </c>
    </row>
    <row r="50" spans="1:14">
      <c r="A50" s="3794" t="s">
        <v>3426</v>
      </c>
      <c r="B50" s="3799">
        <f t="shared" si="1"/>
        <v>122.3</v>
      </c>
      <c r="C50" s="3796">
        <v>113.25</v>
      </c>
      <c r="D50" s="3796">
        <v>113.37</v>
      </c>
      <c r="E50" s="3796">
        <v>108.07</v>
      </c>
      <c r="F50" s="3796" t="s">
        <v>633</v>
      </c>
      <c r="G50" s="3796" t="s">
        <v>633</v>
      </c>
      <c r="H50" s="3796" t="s">
        <v>633</v>
      </c>
      <c r="I50" s="3796">
        <v>128.94</v>
      </c>
      <c r="J50" s="3796">
        <v>124.97</v>
      </c>
      <c r="K50" s="3796" t="s">
        <v>633</v>
      </c>
      <c r="L50" s="3796">
        <v>121.87</v>
      </c>
      <c r="M50" s="3796">
        <v>145.63</v>
      </c>
      <c r="N50" s="3796" t="s">
        <v>633</v>
      </c>
    </row>
    <row r="51" spans="1:14">
      <c r="A51" s="3794" t="s">
        <v>3427</v>
      </c>
      <c r="B51" s="3799">
        <f t="shared" si="1"/>
        <v>118.2</v>
      </c>
      <c r="C51" s="3796">
        <v>112.4</v>
      </c>
      <c r="D51" s="3796">
        <v>111.96</v>
      </c>
      <c r="E51" s="3796">
        <v>112.18</v>
      </c>
      <c r="F51" s="3796">
        <v>112.13</v>
      </c>
      <c r="G51" s="3796">
        <v>113.84</v>
      </c>
      <c r="H51" s="3796">
        <v>116.45</v>
      </c>
      <c r="I51" s="3796">
        <v>121.29</v>
      </c>
      <c r="J51" s="3796">
        <v>125.5</v>
      </c>
      <c r="K51" s="3796">
        <v>119.66</v>
      </c>
      <c r="L51" s="3796" t="s">
        <v>633</v>
      </c>
      <c r="M51" s="3796">
        <v>136.26</v>
      </c>
      <c r="N51" s="3796" t="s">
        <v>633</v>
      </c>
    </row>
    <row r="52" spans="1:14">
      <c r="A52" s="3794" t="s">
        <v>3437</v>
      </c>
      <c r="B52" s="3799">
        <f t="shared" si="1"/>
        <v>121.1</v>
      </c>
      <c r="C52" s="3796">
        <v>112.25</v>
      </c>
      <c r="D52" s="3796">
        <v>123.56</v>
      </c>
      <c r="E52" s="3796" t="s">
        <v>633</v>
      </c>
      <c r="F52" s="3796">
        <v>120.67</v>
      </c>
      <c r="G52" s="3796">
        <v>119.46</v>
      </c>
      <c r="H52" s="3796">
        <v>123.1</v>
      </c>
      <c r="I52" s="3796">
        <v>123</v>
      </c>
      <c r="J52" s="3796">
        <v>125.47</v>
      </c>
      <c r="K52" s="3796" t="s">
        <v>633</v>
      </c>
      <c r="L52" s="3796" t="s">
        <v>633</v>
      </c>
      <c r="M52" s="3796" t="s">
        <v>633</v>
      </c>
      <c r="N52" s="3796" t="s">
        <v>633</v>
      </c>
    </row>
    <row r="53" spans="1:14">
      <c r="A53" s="3794" t="s">
        <v>3438</v>
      </c>
      <c r="B53" s="3799">
        <f t="shared" si="1"/>
        <v>106.3</v>
      </c>
      <c r="C53" s="3796">
        <v>111.22</v>
      </c>
      <c r="D53" s="3796">
        <v>104.68</v>
      </c>
      <c r="E53" s="3796">
        <v>95.57</v>
      </c>
      <c r="F53" s="3796">
        <v>98.6</v>
      </c>
      <c r="G53" s="3796">
        <v>108.73</v>
      </c>
      <c r="H53" s="3796">
        <v>115.72</v>
      </c>
      <c r="I53" s="3796">
        <v>111.6</v>
      </c>
      <c r="J53" s="3796">
        <v>108.49</v>
      </c>
      <c r="K53" s="3796">
        <v>110.49</v>
      </c>
      <c r="L53" s="3796">
        <v>94.86</v>
      </c>
      <c r="M53" s="3796">
        <v>108.97</v>
      </c>
      <c r="N53" s="3796" t="s">
        <v>633</v>
      </c>
    </row>
    <row r="54" spans="1:14">
      <c r="A54" s="3800" t="s">
        <v>3428</v>
      </c>
      <c r="B54" s="3801">
        <f t="shared" si="1"/>
        <v>117.5</v>
      </c>
      <c r="C54" s="3796">
        <v>108.69</v>
      </c>
      <c r="D54" s="3796">
        <v>113.53</v>
      </c>
      <c r="E54" s="3796">
        <v>112.48</v>
      </c>
      <c r="F54" s="3796">
        <v>118.73</v>
      </c>
      <c r="G54" s="3796">
        <v>114.23</v>
      </c>
      <c r="H54" s="3796">
        <v>116.74</v>
      </c>
      <c r="I54" s="3796">
        <v>126.38</v>
      </c>
      <c r="J54" s="3796">
        <v>129.44999999999999</v>
      </c>
      <c r="K54" s="3796" t="s">
        <v>633</v>
      </c>
      <c r="L54" s="3796" t="s">
        <v>633</v>
      </c>
      <c r="M54" s="3796" t="s">
        <v>633</v>
      </c>
      <c r="N54" s="3796" t="s">
        <v>633</v>
      </c>
    </row>
    <row r="55" spans="1:14">
      <c r="A55" s="3794" t="s">
        <v>3429</v>
      </c>
      <c r="B55" s="3799">
        <f t="shared" si="1"/>
        <v>112.2</v>
      </c>
      <c r="C55" s="3796">
        <v>106.17</v>
      </c>
      <c r="D55" s="3796">
        <v>104.36</v>
      </c>
      <c r="E55" s="3796">
        <v>114.18</v>
      </c>
      <c r="F55" s="3796">
        <v>105.02</v>
      </c>
      <c r="G55" s="3796">
        <v>107.92</v>
      </c>
      <c r="H55" s="3796">
        <v>114.66</v>
      </c>
      <c r="I55" s="3796">
        <v>113.86</v>
      </c>
      <c r="J55" s="3796">
        <v>113.74</v>
      </c>
      <c r="K55" s="3796">
        <v>115.74</v>
      </c>
      <c r="L55" s="3796">
        <v>118.82</v>
      </c>
      <c r="M55" s="3796">
        <v>119.9</v>
      </c>
      <c r="N55" s="3796" t="s">
        <v>633</v>
      </c>
    </row>
    <row r="56" spans="1:14">
      <c r="A56" s="3794" t="s">
        <v>3430</v>
      </c>
      <c r="B56" s="3799">
        <f t="shared" si="1"/>
        <v>108.5</v>
      </c>
      <c r="C56" s="3796">
        <v>103.84</v>
      </c>
      <c r="D56" s="3796">
        <v>99.21</v>
      </c>
      <c r="E56" s="3796">
        <v>107.59</v>
      </c>
      <c r="F56" s="3796">
        <v>108.5</v>
      </c>
      <c r="G56" s="3796">
        <v>98.95</v>
      </c>
      <c r="H56" s="3796">
        <v>111.56</v>
      </c>
      <c r="I56" s="3796">
        <v>119.76</v>
      </c>
      <c r="J56" s="3796">
        <v>113.68</v>
      </c>
      <c r="K56" s="3796" t="s">
        <v>633</v>
      </c>
      <c r="L56" s="3796">
        <v>113.7</v>
      </c>
      <c r="M56" s="3796" t="s">
        <v>633</v>
      </c>
      <c r="N56" s="3796" t="s">
        <v>633</v>
      </c>
    </row>
    <row r="57" spans="1:14">
      <c r="A57" s="3800" t="s">
        <v>3439</v>
      </c>
      <c r="B57" s="3801">
        <f t="shared" si="1"/>
        <v>120.6</v>
      </c>
      <c r="C57" s="3796">
        <v>103.29</v>
      </c>
      <c r="D57" s="3796" t="s">
        <v>633</v>
      </c>
      <c r="E57" s="3796" t="s">
        <v>633</v>
      </c>
      <c r="F57" s="3796" t="s">
        <v>633</v>
      </c>
      <c r="G57" s="3796" t="s">
        <v>633</v>
      </c>
      <c r="H57" s="3796" t="s">
        <v>633</v>
      </c>
      <c r="I57" s="3796">
        <v>125.42</v>
      </c>
      <c r="J57" s="3796">
        <v>124.4</v>
      </c>
      <c r="K57" s="3796">
        <v>123.5</v>
      </c>
      <c r="L57" s="3796">
        <v>126.54</v>
      </c>
      <c r="M57" s="3796" t="s">
        <v>633</v>
      </c>
      <c r="N57" s="3796" t="s">
        <v>633</v>
      </c>
    </row>
    <row r="58" spans="1:14">
      <c r="A58" s="3794" t="s">
        <v>3431</v>
      </c>
      <c r="B58" s="3799">
        <f t="shared" si="1"/>
        <v>100.3</v>
      </c>
      <c r="C58" s="3796">
        <v>100.15</v>
      </c>
      <c r="D58" s="3796">
        <v>97.59</v>
      </c>
      <c r="E58" s="3796" t="s">
        <v>633</v>
      </c>
      <c r="F58" s="3796">
        <v>103.95</v>
      </c>
      <c r="G58" s="3796">
        <v>101.43</v>
      </c>
      <c r="H58" s="3796">
        <v>102.16</v>
      </c>
      <c r="I58" s="3796">
        <v>100.3</v>
      </c>
      <c r="J58" s="3796">
        <v>96.74</v>
      </c>
      <c r="K58" s="3796" t="s">
        <v>633</v>
      </c>
      <c r="L58" s="3796" t="s">
        <v>633</v>
      </c>
      <c r="M58" s="3796" t="s">
        <v>633</v>
      </c>
      <c r="N58" s="3796" t="s">
        <v>633</v>
      </c>
    </row>
    <row r="59" spans="1:14">
      <c r="A59" s="3794" t="s">
        <v>3432</v>
      </c>
      <c r="B59" s="3799">
        <f t="shared" si="1"/>
        <v>115.5</v>
      </c>
      <c r="C59" s="3796">
        <v>99.29</v>
      </c>
      <c r="D59" s="3796">
        <v>102.87</v>
      </c>
      <c r="E59" s="3796">
        <v>112.32</v>
      </c>
      <c r="F59" s="3796" t="s">
        <v>633</v>
      </c>
      <c r="G59" s="3796">
        <v>113.14</v>
      </c>
      <c r="H59" s="3796">
        <v>119.41</v>
      </c>
      <c r="I59" s="3796">
        <v>127.58</v>
      </c>
      <c r="J59" s="3796">
        <v>134.11000000000001</v>
      </c>
      <c r="K59" s="3796" t="s">
        <v>633</v>
      </c>
      <c r="L59" s="3796" t="s">
        <v>633</v>
      </c>
      <c r="M59" s="3796" t="s">
        <v>633</v>
      </c>
      <c r="N59" s="3796" t="s">
        <v>633</v>
      </c>
    </row>
    <row r="60" spans="1:14">
      <c r="A60" s="3794" t="s">
        <v>3433</v>
      </c>
      <c r="B60" s="3799">
        <f t="shared" si="1"/>
        <v>101.1</v>
      </c>
      <c r="C60" s="3796">
        <v>94.65</v>
      </c>
      <c r="D60" s="3796">
        <v>104.66</v>
      </c>
      <c r="E60" s="3796">
        <v>106.87</v>
      </c>
      <c r="F60" s="3796">
        <v>100.77</v>
      </c>
      <c r="G60" s="3796">
        <v>98.61</v>
      </c>
      <c r="H60" s="3796">
        <v>96.66</v>
      </c>
      <c r="I60" s="3796">
        <v>101.71</v>
      </c>
      <c r="J60" s="3796">
        <v>103.98</v>
      </c>
      <c r="K60" s="3796" t="s">
        <v>633</v>
      </c>
      <c r="L60" s="3796">
        <v>102.36</v>
      </c>
      <c r="M60" s="3796" t="s">
        <v>633</v>
      </c>
      <c r="N60" s="3796" t="s">
        <v>633</v>
      </c>
    </row>
    <row r="61" spans="1:14">
      <c r="A61" s="3794" t="s">
        <v>3434</v>
      </c>
      <c r="B61" s="3799">
        <f t="shared" si="1"/>
        <v>89.3</v>
      </c>
      <c r="C61" s="3796">
        <v>92.48</v>
      </c>
      <c r="D61" s="3796">
        <v>93.2</v>
      </c>
      <c r="E61" s="3796">
        <v>91.47</v>
      </c>
      <c r="F61" s="3796">
        <v>90.64</v>
      </c>
      <c r="G61" s="3796">
        <v>91.88</v>
      </c>
      <c r="H61" s="3796">
        <v>92.18</v>
      </c>
      <c r="I61" s="3796">
        <v>89.63</v>
      </c>
      <c r="J61" s="3796">
        <v>85.07</v>
      </c>
      <c r="K61" s="3796">
        <v>88.57</v>
      </c>
      <c r="L61" s="3796">
        <v>86.39</v>
      </c>
      <c r="M61" s="3796">
        <v>84.94</v>
      </c>
      <c r="N61" s="3796">
        <v>85.62</v>
      </c>
    </row>
    <row r="62" spans="1:14">
      <c r="A62" s="3794" t="s">
        <v>3435</v>
      </c>
      <c r="B62" s="3799">
        <f t="shared" si="1"/>
        <v>79.5</v>
      </c>
      <c r="C62" s="3796">
        <v>80.62</v>
      </c>
      <c r="D62" s="3796">
        <v>81.64</v>
      </c>
      <c r="E62" s="3796">
        <v>80.69</v>
      </c>
      <c r="F62" s="3796">
        <v>79.42</v>
      </c>
      <c r="G62" s="3796">
        <v>78.86</v>
      </c>
      <c r="H62" s="3796">
        <v>79.349999999999994</v>
      </c>
      <c r="I62" s="3796">
        <v>79.72</v>
      </c>
      <c r="J62" s="3796">
        <v>77.069999999999993</v>
      </c>
      <c r="K62" s="3796">
        <v>77.08</v>
      </c>
      <c r="L62" s="3796">
        <v>78.23</v>
      </c>
      <c r="M62" s="3796">
        <v>80.97</v>
      </c>
      <c r="N62" s="3796">
        <v>80.22</v>
      </c>
    </row>
    <row r="63" spans="1:14">
      <c r="A63" s="3794" t="s">
        <v>3436</v>
      </c>
      <c r="B63" s="3799">
        <f t="shared" si="1"/>
        <v>67.900000000000006</v>
      </c>
      <c r="C63" s="3796">
        <v>69.680000000000007</v>
      </c>
      <c r="D63" s="3796">
        <v>70.98</v>
      </c>
      <c r="E63" s="3796">
        <v>68.900000000000006</v>
      </c>
      <c r="F63" s="3796">
        <v>67.06</v>
      </c>
      <c r="G63" s="3796">
        <v>65.180000000000007</v>
      </c>
      <c r="H63" s="3796">
        <v>65.67</v>
      </c>
      <c r="I63" s="3796" t="s">
        <v>633</v>
      </c>
      <c r="J63" s="3796" t="s">
        <v>633</v>
      </c>
      <c r="K63" s="3796" t="s">
        <v>633</v>
      </c>
      <c r="L63" s="3796" t="s">
        <v>633</v>
      </c>
      <c r="M63" s="3796" t="s">
        <v>633</v>
      </c>
      <c r="N63" s="3796" t="s">
        <v>633</v>
      </c>
    </row>
  </sheetData>
  <mergeCells count="1">
    <mergeCell ref="A1:A2"/>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8" zoomScale="70" zoomScaleNormal="60" zoomScaleSheetLayoutView="70" workbookViewId="0">
      <selection activeCell="K38" sqref="K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108.3</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3"/>
      <c r="M4" s="2714"/>
      <c r="N4" s="2714"/>
      <c r="O4" s="2714"/>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tr">
        <f>案例!A19</f>
        <v>羊坊店16号院&lt;羊坊店、五棵松&lt;海淀区</v>
      </c>
      <c r="F5" s="3711"/>
      <c r="G5" s="3703" t="str">
        <f>案例!A54</f>
        <v>什坊院&lt;羊坊店、五棵松&lt;海淀区</v>
      </c>
      <c r="H5" s="3704"/>
      <c r="I5" s="3703" t="str">
        <f>案例!A57</f>
        <v>羊坊店西路&lt;羊坊店、五棵松&lt;海淀区</v>
      </c>
      <c r="J5" s="3704"/>
      <c r="K5" s="1890"/>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45076</v>
      </c>
      <c r="D7" s="365">
        <v>100</v>
      </c>
      <c r="E7" s="366">
        <v>45047</v>
      </c>
      <c r="F7" s="367">
        <f>SUMIF(58:58,YEAR(E7)&amp;"-"&amp;MONTH(E7),59:59)</f>
        <v>100</v>
      </c>
      <c r="G7" s="366">
        <f>E7</f>
        <v>45047</v>
      </c>
      <c r="H7" s="365">
        <f>SUMIF(58:58,YEAR(G7)&amp;"-"&amp;MONTH(G7),59:59)</f>
        <v>100</v>
      </c>
      <c r="I7" s="366">
        <f>E7</f>
        <v>45047</v>
      </c>
      <c r="J7" s="365">
        <f>SUMIF(58:58,YEAR(I7)&amp;"-"&amp;MONTH(I7),59:59)</f>
        <v>100</v>
      </c>
      <c r="K7" s="1891"/>
      <c r="L7" s="2715"/>
      <c r="M7" s="2716"/>
      <c r="N7" s="2716"/>
      <c r="O7" s="2716"/>
      <c r="P7" s="3705" t="s">
        <v>1680</v>
      </c>
      <c r="Q7" s="3707"/>
      <c r="R7" s="701" t="s">
        <v>20</v>
      </c>
      <c r="S7" s="702">
        <f t="shared" ref="S7:S15" si="0">F7</f>
        <v>100</v>
      </c>
      <c r="T7" s="701" t="s">
        <v>20</v>
      </c>
      <c r="U7" s="702">
        <f t="shared" ref="U7:U15" si="1">H7</f>
        <v>100</v>
      </c>
      <c r="V7" s="701" t="s">
        <v>20</v>
      </c>
      <c r="W7" s="702">
        <f t="shared" ref="W7:W15" si="2">J7</f>
        <v>100</v>
      </c>
      <c r="X7" s="703"/>
      <c r="Y7" s="3705" t="s">
        <v>1680</v>
      </c>
      <c r="Z7" s="3706"/>
      <c r="AA7" s="704">
        <f>D7/F7</f>
        <v>1</v>
      </c>
      <c r="AB7" s="704">
        <f>D7/H7</f>
        <v>1</v>
      </c>
      <c r="AC7" s="704">
        <f>D7/J7</f>
        <v>1</v>
      </c>
    </row>
    <row r="8" spans="1:29" s="108" customFormat="1" ht="15.75" thickBot="1">
      <c r="A8" s="362" t="s">
        <v>1681</v>
      </c>
      <c r="B8" s="363"/>
      <c r="C8" s="368" t="s">
        <v>3442</v>
      </c>
      <c r="D8" s="365">
        <v>100</v>
      </c>
      <c r="E8" s="1892" t="s">
        <v>3442</v>
      </c>
      <c r="F8" s="367">
        <f>SUMIF(61:61,E8,62:62)-SUMIF(61:61,C8,62:62)+100</f>
        <v>100</v>
      </c>
      <c r="G8" s="368" t="s">
        <v>3442</v>
      </c>
      <c r="H8" s="365">
        <f>SUMIF(61:61,G8,62:62)-SUMIF(61:61,C8,62:62)+100</f>
        <v>100</v>
      </c>
      <c r="I8" s="1892" t="s">
        <v>3442</v>
      </c>
      <c r="J8" s="365">
        <f>SUMIF(61:61,I8,62:62)-SUMIF(61:61,C8,62:62)+100</f>
        <v>100</v>
      </c>
      <c r="K8" s="1891"/>
      <c r="L8" s="2715"/>
      <c r="M8" s="2716"/>
      <c r="N8" s="2716"/>
      <c r="O8" s="2716"/>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ht="15" thickBot="1">
      <c r="A9" s="369" t="s">
        <v>1684</v>
      </c>
      <c r="B9" s="63" t="s">
        <v>1685</v>
      </c>
      <c r="C9" s="3802" t="s">
        <v>3444</v>
      </c>
      <c r="D9" s="126">
        <v>100</v>
      </c>
      <c r="E9" s="371" t="s">
        <v>3443</v>
      </c>
      <c r="F9" s="372">
        <f>SUMIF(63:63,E9,64:64)-SUMIF(63:63,C9,64:64)+100</f>
        <v>100</v>
      </c>
      <c r="G9" s="373" t="s">
        <v>3443</v>
      </c>
      <c r="H9" s="126">
        <f>SUMIF(63:63,G9,64:64)-SUMIF(63:63,C9,64:64)+100</f>
        <v>100</v>
      </c>
      <c r="I9" s="373" t="s">
        <v>3443</v>
      </c>
      <c r="J9" s="126">
        <f>SUMIF(63:63,I9,64:64)-SUMIF(63:63,C9,64:64)+100</f>
        <v>100</v>
      </c>
      <c r="K9" s="1891"/>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680"/>
      <c r="Q11" s="1343" t="str">
        <f t="shared" si="6"/>
        <v>容积率</v>
      </c>
      <c r="R11" s="701" t="s">
        <v>18</v>
      </c>
      <c r="S11" s="702">
        <f t="shared" si="0"/>
        <v>100</v>
      </c>
      <c r="T11" s="701" t="s">
        <v>18</v>
      </c>
      <c r="U11" s="702">
        <f t="shared" si="1"/>
        <v>100</v>
      </c>
      <c r="V11" s="701" t="s">
        <v>18</v>
      </c>
      <c r="W11" s="702">
        <f t="shared" si="2"/>
        <v>100</v>
      </c>
      <c r="X11" s="703"/>
      <c r="Y11" s="3544"/>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估价对象周边有铁西宿舍、复兴路12号院、会城门小区、电信宿舍、什坊院、羊坊店西路等社区，综合评价居住社区成熟度较好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t="s">
        <v>3445</v>
      </c>
      <c r="D16" s="399"/>
      <c r="E16" s="1897" t="s">
        <v>3445</v>
      </c>
      <c r="F16" s="399"/>
      <c r="G16" s="1898" t="s">
        <v>3445</v>
      </c>
      <c r="H16" s="401"/>
      <c r="I16" s="1898" t="s">
        <v>3445</v>
      </c>
      <c r="J16" s="399"/>
      <c r="K16" s="1899"/>
      <c r="L16" s="2720"/>
      <c r="M16" s="2714"/>
      <c r="N16" s="2714"/>
      <c r="O16" s="2714"/>
      <c r="P16" s="3679"/>
      <c r="Q16" s="1352"/>
      <c r="R16" s="705"/>
      <c r="S16" s="706"/>
      <c r="T16" s="705"/>
      <c r="U16" s="706"/>
      <c r="V16" s="705"/>
      <c r="W16" s="706"/>
      <c r="X16" s="1355"/>
      <c r="Y16" s="3672"/>
      <c r="Z16" s="1356"/>
      <c r="AA16" s="1353">
        <v>1</v>
      </c>
      <c r="AB16" s="1353">
        <v>1</v>
      </c>
      <c r="AC16" s="1353">
        <v>1</v>
      </c>
    </row>
    <row r="17" spans="1:29" ht="128.25">
      <c r="A17" s="379"/>
      <c r="B17" s="402" t="s">
        <v>1259</v>
      </c>
      <c r="C17" s="1900" t="str">
        <f>估价对象房地状况!C6</f>
        <v>估价对象周边有21路、40路、414路等多条公共线路，距地铁1号线、9号线换乘站（军事博物馆站）约700米，路边可停车，综合评价交通便捷度较好</v>
      </c>
      <c r="D17" s="401">
        <v>100</v>
      </c>
      <c r="E17" s="405"/>
      <c r="F17" s="401">
        <f>SUMIF(78:78,E18,79:79)-SUMIF(78:78,C18,79:79)+100</f>
        <v>105</v>
      </c>
      <c r="G17" s="403"/>
      <c r="H17" s="406">
        <f>SUMIF(78:78,G18,79:79)-SUMIF(78:78,C18,79:79)+100</f>
        <v>105</v>
      </c>
      <c r="I17" s="403"/>
      <c r="J17" s="406">
        <f>SUMIF(78:78,I18,79:79)-SUMIF(78:78,C18,79:79)+100</f>
        <v>105</v>
      </c>
      <c r="K17" s="396">
        <v>5</v>
      </c>
      <c r="L17" s="2720"/>
      <c r="M17" s="2714"/>
      <c r="N17" s="2714"/>
      <c r="O17" s="2714"/>
      <c r="P17" s="3679"/>
      <c r="Q17" s="1352" t="str">
        <f>B17</f>
        <v>交通便捷度</v>
      </c>
      <c r="R17" s="705" t="s">
        <v>18</v>
      </c>
      <c r="S17" s="706">
        <f>F17</f>
        <v>105</v>
      </c>
      <c r="T17" s="705" t="s">
        <v>18</v>
      </c>
      <c r="U17" s="706">
        <f>H17</f>
        <v>105</v>
      </c>
      <c r="V17" s="705" t="s">
        <v>18</v>
      </c>
      <c r="W17" s="706">
        <f>J17</f>
        <v>105</v>
      </c>
      <c r="X17" s="1355"/>
      <c r="Y17" s="3672"/>
      <c r="Z17" s="1356" t="str">
        <f>Q17</f>
        <v>交通便捷度</v>
      </c>
      <c r="AA17" s="1353">
        <f t="shared" si="3"/>
        <v>0.95238095238095233</v>
      </c>
      <c r="AB17" s="1353">
        <f t="shared" si="4"/>
        <v>0.95238095238095233</v>
      </c>
      <c r="AC17" s="1353">
        <f t="shared" si="5"/>
        <v>0.95238095238095233</v>
      </c>
    </row>
    <row r="18" spans="1:29" ht="15">
      <c r="A18" s="379"/>
      <c r="B18" s="407"/>
      <c r="C18" s="1901" t="s">
        <v>3445</v>
      </c>
      <c r="D18" s="401"/>
      <c r="E18" s="1902" t="s">
        <v>3452</v>
      </c>
      <c r="F18" s="401"/>
      <c r="G18" s="1903" t="s">
        <v>3452</v>
      </c>
      <c r="H18" s="399"/>
      <c r="I18" s="1903" t="s">
        <v>3452</v>
      </c>
      <c r="J18" s="399"/>
      <c r="K18" s="1899"/>
      <c r="L18" s="2720"/>
      <c r="M18" s="2714"/>
      <c r="N18" s="2714"/>
      <c r="O18" s="2714"/>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t="s">
        <v>3452</v>
      </c>
      <c r="D20" s="399"/>
      <c r="E20" s="1897" t="s">
        <v>3452</v>
      </c>
      <c r="F20" s="399"/>
      <c r="G20" s="1898" t="s">
        <v>3452</v>
      </c>
      <c r="H20" s="399"/>
      <c r="I20" s="1898" t="s">
        <v>3452</v>
      </c>
      <c r="J20" s="399"/>
      <c r="K20" s="1899"/>
      <c r="L20" s="2720"/>
      <c r="M20" s="2714"/>
      <c r="N20" s="2714"/>
      <c r="O20" s="2714"/>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t="s">
        <v>3454</v>
      </c>
      <c r="D22" s="399"/>
      <c r="E22" s="398" t="s">
        <v>3454</v>
      </c>
      <c r="F22" s="399"/>
      <c r="G22" s="1904" t="s">
        <v>3454</v>
      </c>
      <c r="H22" s="399"/>
      <c r="I22" s="398" t="s">
        <v>3454</v>
      </c>
      <c r="J22" s="399"/>
      <c r="K22" s="1905"/>
      <c r="L22" s="2720"/>
      <c r="M22" s="2714"/>
      <c r="N22" s="2714"/>
      <c r="O22" s="2714"/>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区域自然环境：西护城河、中华世纪坛公园；人文环境；军事博物馆；综合评价环境状况较好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t="s">
        <v>3445</v>
      </c>
      <c r="D24" s="399"/>
      <c r="E24" s="1897" t="s">
        <v>3445</v>
      </c>
      <c r="F24" s="399"/>
      <c r="G24" s="1898" t="s">
        <v>3445</v>
      </c>
      <c r="H24" s="399"/>
      <c r="I24" s="1898" t="s">
        <v>3445</v>
      </c>
      <c r="J24" s="399"/>
      <c r="K24" s="1899"/>
      <c r="L24" s="2720"/>
      <c r="M24" s="2714"/>
      <c r="N24" s="2714"/>
      <c r="O24" s="2714"/>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t="s">
        <v>3470</v>
      </c>
      <c r="D32" s="418">
        <v>100</v>
      </c>
      <c r="E32" s="1911" t="s">
        <v>3470</v>
      </c>
      <c r="F32" s="412">
        <f>SUMIF(100:100,E32,101:101)-SUMIF(100:100,C32,101:101)+100</f>
        <v>100</v>
      </c>
      <c r="G32" s="1910" t="s">
        <v>3473</v>
      </c>
      <c r="H32" s="418">
        <f>SUMIF(100:100,G32,101:101)-SUMIF(100:100,C32,101:101)+100</f>
        <v>99</v>
      </c>
      <c r="I32" s="1911" t="s">
        <v>3470</v>
      </c>
      <c r="J32" s="386">
        <f>SUMIF(100:100,I32,101:101)-SUMIF(100:100,C32,101:101)+100</f>
        <v>100</v>
      </c>
      <c r="K32" s="377">
        <v>1</v>
      </c>
      <c r="L32" s="2720"/>
      <c r="M32" s="2714"/>
      <c r="N32" s="2714"/>
      <c r="O32" s="2714"/>
      <c r="P32" s="3673" t="s">
        <v>1696</v>
      </c>
      <c r="Q32" s="1352" t="str">
        <f t="shared" si="11"/>
        <v>建筑类型</v>
      </c>
      <c r="R32" s="705" t="s">
        <v>18</v>
      </c>
      <c r="S32" s="706">
        <f t="shared" si="12"/>
        <v>100</v>
      </c>
      <c r="T32" s="705" t="s">
        <v>18</v>
      </c>
      <c r="U32" s="706">
        <f t="shared" si="13"/>
        <v>99</v>
      </c>
      <c r="V32" s="705" t="s">
        <v>18</v>
      </c>
      <c r="W32" s="706">
        <f t="shared" si="14"/>
        <v>100</v>
      </c>
      <c r="X32" s="1355"/>
      <c r="Y32" s="3676" t="s">
        <v>1696</v>
      </c>
      <c r="Z32" s="1356" t="str">
        <f t="shared" si="18"/>
        <v>建筑类型</v>
      </c>
      <c r="AA32" s="1353">
        <f t="shared" si="15"/>
        <v>1</v>
      </c>
      <c r="AB32" s="1353">
        <f t="shared" si="16"/>
        <v>1.0101010101010102</v>
      </c>
      <c r="AC32" s="1353">
        <f t="shared" si="17"/>
        <v>1</v>
      </c>
    </row>
    <row r="33" spans="1:29" s="422" customFormat="1" ht="15" hidden="1">
      <c r="A33" s="419"/>
      <c r="B33" s="375" t="s">
        <v>1697</v>
      </c>
      <c r="C33" s="420">
        <v>60</v>
      </c>
      <c r="D33" s="127">
        <v>100</v>
      </c>
      <c r="E33" s="381">
        <v>60</v>
      </c>
      <c r="F33" s="376">
        <f>LOOKUP(E33,103:103,104:104)-LOOKUP(C33,103:103,104:104)+100</f>
        <v>100</v>
      </c>
      <c r="G33" s="380">
        <v>60</v>
      </c>
      <c r="H33" s="127">
        <f>LOOKUP(G33,103:103,104:104)-LOOKUP(C33,103:103,104:104)+100</f>
        <v>100</v>
      </c>
      <c r="I33" s="381">
        <v>60</v>
      </c>
      <c r="J33" s="127">
        <f>LOOKUP(I33,103:103,104:104)-LOOKUP(C33,103:103,104:104)+100</f>
        <v>100</v>
      </c>
      <c r="K33" s="1894"/>
      <c r="L33" s="2719"/>
      <c r="M33" s="2721"/>
      <c r="N33" s="2721"/>
      <c r="O33" s="2721"/>
      <c r="P33" s="3674"/>
      <c r="Q33" s="707" t="str">
        <f t="shared" si="11"/>
        <v>项目建筑规模</v>
      </c>
      <c r="R33" s="708" t="s">
        <v>18</v>
      </c>
      <c r="S33" s="709">
        <f t="shared" si="12"/>
        <v>100</v>
      </c>
      <c r="T33" s="708" t="s">
        <v>18</v>
      </c>
      <c r="U33" s="709">
        <f t="shared" si="13"/>
        <v>100</v>
      </c>
      <c r="V33" s="708" t="s">
        <v>18</v>
      </c>
      <c r="W33" s="709">
        <f t="shared" si="14"/>
        <v>100</v>
      </c>
      <c r="X33" s="710"/>
      <c r="Y33" s="3676"/>
      <c r="Z33" s="711" t="str">
        <f t="shared" si="18"/>
        <v>项目建筑规模</v>
      </c>
      <c r="AA33" s="1353">
        <f t="shared" si="15"/>
        <v>1</v>
      </c>
      <c r="AB33" s="1353">
        <f t="shared" si="16"/>
        <v>1</v>
      </c>
      <c r="AC33" s="1353">
        <f t="shared" si="17"/>
        <v>1</v>
      </c>
    </row>
    <row r="34" spans="1:29" ht="15">
      <c r="A34" s="423"/>
      <c r="B34" s="375" t="s">
        <v>1698</v>
      </c>
      <c r="C34" s="1912" t="s">
        <v>3455</v>
      </c>
      <c r="D34" s="386">
        <v>100</v>
      </c>
      <c r="E34" s="1913" t="s">
        <v>3455</v>
      </c>
      <c r="F34" s="412">
        <f>SUMIF(105:105,E34,106:106)-SUMIF(105:105,C34,106:106)+100</f>
        <v>100</v>
      </c>
      <c r="G34" s="1912" t="s">
        <v>3475</v>
      </c>
      <c r="H34" s="386">
        <f>SUMIF(105:105,G34,106:106)-SUMIF(105:105,C34,106:106)+100</f>
        <v>102</v>
      </c>
      <c r="I34" s="1913" t="s">
        <v>3455</v>
      </c>
      <c r="J34" s="386">
        <f>SUMIF(105:105,I34,106:106)-SUMIF(105:105,C34,106:106)+100</f>
        <v>100</v>
      </c>
      <c r="K34" s="377">
        <v>2</v>
      </c>
      <c r="L34" s="2720"/>
      <c r="M34" s="2714"/>
      <c r="N34" s="2714"/>
      <c r="O34" s="2714"/>
      <c r="P34" s="3674"/>
      <c r="Q34" s="1352" t="str">
        <f t="shared" si="11"/>
        <v>建筑结构</v>
      </c>
      <c r="R34" s="705" t="s">
        <v>18</v>
      </c>
      <c r="S34" s="706">
        <f t="shared" si="12"/>
        <v>100</v>
      </c>
      <c r="T34" s="705" t="s">
        <v>18</v>
      </c>
      <c r="U34" s="706">
        <f t="shared" si="13"/>
        <v>102</v>
      </c>
      <c r="V34" s="705" t="s">
        <v>18</v>
      </c>
      <c r="W34" s="706">
        <f t="shared" si="14"/>
        <v>100</v>
      </c>
      <c r="X34" s="1355"/>
      <c r="Y34" s="3676"/>
      <c r="Z34" s="1356" t="str">
        <f t="shared" si="18"/>
        <v>建筑结构</v>
      </c>
      <c r="AA34" s="1353">
        <f t="shared" si="15"/>
        <v>1</v>
      </c>
      <c r="AB34" s="1353">
        <f t="shared" si="16"/>
        <v>0.98039215686274506</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t="s">
        <v>3457</v>
      </c>
      <c r="D36" s="386">
        <v>100</v>
      </c>
      <c r="E36" s="1907" t="s">
        <v>3457</v>
      </c>
      <c r="F36" s="412">
        <f>SUMIF(109:109,E36,110:110)-SUMIF(109:109,C36,110:110)+100</f>
        <v>100</v>
      </c>
      <c r="G36" s="1906" t="s">
        <v>3457</v>
      </c>
      <c r="H36" s="386">
        <f>SUMIF(109:109,G36,110:110)-SUMIF(109:109,C36,110:110)+100</f>
        <v>100</v>
      </c>
      <c r="I36" s="1907" t="s">
        <v>3457</v>
      </c>
      <c r="J36" s="386">
        <f>SUMIF(109:109,I36,110:110)-SUMIF(109:109,C36,110:110)+100</f>
        <v>100</v>
      </c>
      <c r="K36" s="377"/>
      <c r="L36" s="2720"/>
      <c r="M36" s="2714"/>
      <c r="N36" s="2714"/>
      <c r="O36" s="2714"/>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v>0.75</v>
      </c>
      <c r="F37" s="376">
        <f>LOOKUP(E37,112:112,113:113)-LOOKUP(C37,112:112,113:113)+100</f>
        <v>100</v>
      </c>
      <c r="G37" s="427">
        <v>0.8</v>
      </c>
      <c r="H37" s="127">
        <f>LOOKUP(G37,112:112,113:113)-LOOKUP(C37,112:112,113:113)+100</f>
        <v>106</v>
      </c>
      <c r="I37" s="426">
        <v>0.8</v>
      </c>
      <c r="J37" s="127">
        <f>LOOKUP(I37,112:112,113:113)-LOOKUP(C37,112:112,113:113)+100</f>
        <v>106</v>
      </c>
      <c r="K37" s="377">
        <v>6</v>
      </c>
      <c r="L37" s="2715"/>
      <c r="M37" s="2716"/>
      <c r="N37" s="2716"/>
      <c r="O37" s="2716"/>
      <c r="P37" s="3674"/>
      <c r="Q37" s="1343" t="str">
        <f t="shared" si="11"/>
        <v>成新度</v>
      </c>
      <c r="R37" s="701" t="s">
        <v>18</v>
      </c>
      <c r="S37" s="702">
        <f t="shared" si="12"/>
        <v>100</v>
      </c>
      <c r="T37" s="701" t="s">
        <v>18</v>
      </c>
      <c r="U37" s="702">
        <f t="shared" si="13"/>
        <v>106</v>
      </c>
      <c r="V37" s="701" t="s">
        <v>18</v>
      </c>
      <c r="W37" s="702">
        <f t="shared" si="14"/>
        <v>106</v>
      </c>
      <c r="X37" s="703"/>
      <c r="Y37" s="3676"/>
      <c r="Z37" s="52" t="str">
        <f t="shared" si="18"/>
        <v>成新度</v>
      </c>
      <c r="AA37" s="704">
        <f t="shared" si="15"/>
        <v>1</v>
      </c>
      <c r="AB37" s="704">
        <f t="shared" si="16"/>
        <v>0.94339622641509435</v>
      </c>
      <c r="AC37" s="704">
        <f t="shared" si="17"/>
        <v>0.94339622641509435</v>
      </c>
    </row>
    <row r="38" spans="1:29" ht="15">
      <c r="A38" s="423"/>
      <c r="B38" s="375" t="s">
        <v>1702</v>
      </c>
      <c r="C38" s="1906" t="s">
        <v>3461</v>
      </c>
      <c r="D38" s="386">
        <v>100</v>
      </c>
      <c r="E38" s="1907" t="s">
        <v>3459</v>
      </c>
      <c r="F38" s="412">
        <f>SUMIF(114:114,E38,115:115)-SUMIF(114:114,C38,115:115)+100</f>
        <v>100</v>
      </c>
      <c r="G38" s="1906" t="s">
        <v>3459</v>
      </c>
      <c r="H38" s="386">
        <f>SUMIF(114:114,G38,115:115)-SUMIF(114:114,C38,115:115)+100</f>
        <v>100</v>
      </c>
      <c r="I38" s="1907" t="s">
        <v>3459</v>
      </c>
      <c r="J38" s="386">
        <f>SUMIF(114:114,I38,115:115)-SUMIF(114:114,C38,115:115)+100</f>
        <v>100</v>
      </c>
      <c r="K38" s="377"/>
      <c r="L38" s="2720"/>
      <c r="M38" s="2714"/>
      <c r="N38" s="2714"/>
      <c r="O38" s="2714"/>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t="s">
        <v>3454</v>
      </c>
      <c r="D39" s="386">
        <v>100</v>
      </c>
      <c r="E39" s="1907" t="s">
        <v>3454</v>
      </c>
      <c r="F39" s="412">
        <f>SUMIF(116:116,E39,117:117)-SUMIF(116:116,C39,117:117)+100</f>
        <v>100</v>
      </c>
      <c r="G39" s="1906" t="s">
        <v>3454</v>
      </c>
      <c r="H39" s="386">
        <f>SUMIF(116:116,G39,117:117)-SUMIF(116:116,C39,117:117)+100</f>
        <v>100</v>
      </c>
      <c r="I39" s="1907" t="s">
        <v>3454</v>
      </c>
      <c r="J39" s="386">
        <f>SUMIF(116:116,I39,117:117)-SUMIF(116:116,C39,117:117)+100</f>
        <v>100</v>
      </c>
      <c r="K39" s="377"/>
      <c r="L39" s="2720"/>
      <c r="M39" s="2714"/>
      <c r="N39" s="2714"/>
      <c r="O39" s="2714"/>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t="s">
        <v>3466</v>
      </c>
      <c r="D40" s="386">
        <v>100</v>
      </c>
      <c r="E40" s="1907" t="s">
        <v>3466</v>
      </c>
      <c r="F40" s="412">
        <f>SUMIF(118:118,E40,119:119)-SUMIF(118:118,C40,119:119)+100</f>
        <v>100</v>
      </c>
      <c r="G40" s="1906" t="s">
        <v>3466</v>
      </c>
      <c r="H40" s="386">
        <f>SUMIF(118:118,G40,119:119)-SUMIF(118:118,C40,119:119)+100</f>
        <v>100</v>
      </c>
      <c r="I40" s="1907" t="s">
        <v>3466</v>
      </c>
      <c r="J40" s="386">
        <f>SUMIF(118:118,I40,119:119)-SUMIF(118:118,C40,119:119)+100</f>
        <v>100</v>
      </c>
      <c r="K40" s="377"/>
      <c r="L40" s="2720"/>
      <c r="M40" s="2714"/>
      <c r="N40" s="2714"/>
      <c r="O40" s="2714"/>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t="s">
        <v>3457</v>
      </c>
      <c r="D42" s="386">
        <v>100</v>
      </c>
      <c r="E42" s="1907" t="s">
        <v>3457</v>
      </c>
      <c r="F42" s="412">
        <f>SUMIF(122:122,E42,123:123)-SUMIF(122:122,C42,123:123)+100</f>
        <v>100</v>
      </c>
      <c r="G42" s="1906" t="s">
        <v>3457</v>
      </c>
      <c r="H42" s="386">
        <f>SUMIF(122:122,G42,123:123)-SUMIF(122:122,C42,123:123)+100</f>
        <v>100</v>
      </c>
      <c r="I42" s="1907" t="s">
        <v>3457</v>
      </c>
      <c r="J42" s="386">
        <f>SUMIF(122:122,I42,123:123)-SUMIF(122:122,C42,123:123)+100</f>
        <v>100</v>
      </c>
      <c r="K42" s="377"/>
      <c r="L42" s="2720"/>
      <c r="M42" s="2714"/>
      <c r="N42" s="2714"/>
      <c r="O42" s="2714"/>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3810" t="s">
        <v>3480</v>
      </c>
      <c r="C44" s="3811" t="s">
        <v>3481</v>
      </c>
      <c r="D44" s="127">
        <v>100</v>
      </c>
      <c r="E44" s="420" t="str">
        <f>C44</f>
        <v>有</v>
      </c>
      <c r="F44" s="376">
        <f>SUMIF(126:126,E44,127:127)-SUMIF(126:126,C44,127:127)+100</f>
        <v>100</v>
      </c>
      <c r="G44" s="420" t="str">
        <f>C44</f>
        <v>有</v>
      </c>
      <c r="H44" s="127">
        <f>SUMIF(126:126,G44,127:127)-SUMIF(126:126,C44,127:127)+100</f>
        <v>100</v>
      </c>
      <c r="I44" s="420" t="str">
        <f>C44</f>
        <v>有</v>
      </c>
      <c r="J44" s="127">
        <f>SUMIF(126:126,I44,127:127)-SUMIF(126:126,C44,127:127)+100</f>
        <v>100</v>
      </c>
      <c r="K44" s="1894"/>
      <c r="L44" s="2715"/>
      <c r="M44" s="2716"/>
      <c r="N44" s="2716"/>
      <c r="O44" s="2716"/>
      <c r="P44" s="3674"/>
      <c r="Q44" s="1343" t="str">
        <f t="shared" si="11"/>
        <v>独立卫生间</v>
      </c>
      <c r="R44" s="701" t="s">
        <v>18</v>
      </c>
      <c r="S44" s="702">
        <f t="shared" si="12"/>
        <v>100</v>
      </c>
      <c r="T44" s="701" t="s">
        <v>18</v>
      </c>
      <c r="U44" s="702">
        <f t="shared" si="13"/>
        <v>100</v>
      </c>
      <c r="V44" s="701" t="s">
        <v>18</v>
      </c>
      <c r="W44" s="702">
        <f t="shared" si="14"/>
        <v>100</v>
      </c>
      <c r="X44" s="703"/>
      <c r="Y44" s="3676"/>
      <c r="Z44" s="52" t="str">
        <f t="shared" si="18"/>
        <v>独立卫生间</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f>案例!B19</f>
        <v>117.6</v>
      </c>
      <c r="F47" s="1157"/>
      <c r="G47" s="1158">
        <f>案例!B54</f>
        <v>117.5</v>
      </c>
      <c r="H47" s="1159"/>
      <c r="I47" s="1156">
        <f>案例!B57</f>
        <v>120.6</v>
      </c>
      <c r="J47" s="1159"/>
      <c r="K47" s="1914"/>
      <c r="L47" s="2722"/>
      <c r="M47" s="2723"/>
      <c r="N47" s="2714"/>
      <c r="O47" s="2723"/>
      <c r="P47" s="3669" t="str">
        <f>A47</f>
        <v>成交单价（元/平方米）</v>
      </c>
      <c r="Q47" s="3669"/>
      <c r="R47" s="3670">
        <f>E47</f>
        <v>117.6</v>
      </c>
      <c r="S47" s="3670"/>
      <c r="T47" s="3670">
        <f>G47</f>
        <v>117.5</v>
      </c>
      <c r="U47" s="3670"/>
      <c r="V47" s="3670">
        <f>I47</f>
        <v>120.6</v>
      </c>
      <c r="W47" s="3670"/>
      <c r="X47" s="690"/>
      <c r="Y47" s="712"/>
      <c r="Z47" s="690"/>
      <c r="AA47" s="690"/>
      <c r="AB47" s="690"/>
      <c r="AC47" s="690"/>
    </row>
    <row r="48" spans="1:29" ht="15.75" thickBot="1">
      <c r="A48" s="437" t="s">
        <v>1709</v>
      </c>
      <c r="B48" s="438"/>
      <c r="C48" s="1160">
        <f>R49</f>
        <v>108.3</v>
      </c>
      <c r="D48" s="2317" t="s">
        <v>2138</v>
      </c>
      <c r="E48" s="1161">
        <f>R48</f>
        <v>112</v>
      </c>
      <c r="F48" s="2318"/>
      <c r="G48" s="1160">
        <f>T48</f>
        <v>104.5</v>
      </c>
      <c r="H48" s="2318"/>
      <c r="I48" s="1161">
        <f>V48</f>
        <v>108.4</v>
      </c>
      <c r="J48" s="2318"/>
      <c r="K48" s="2319">
        <f>F48+H48+J48</f>
        <v>0</v>
      </c>
      <c r="L48" s="2722"/>
      <c r="M48" s="2723"/>
      <c r="N48" s="2723"/>
      <c r="O48" s="2723"/>
      <c r="P48" s="3669" t="str">
        <f>A48</f>
        <v>比较价值（元/平方米）</v>
      </c>
      <c r="Q48" s="3669"/>
      <c r="R48" s="3670">
        <f>IF(F1="售价",ROUND(PRODUCT(R47,AA7:AA46),0),ROUND(PRODUCT(R47,AA7:AA46),1))</f>
        <v>112</v>
      </c>
      <c r="S48" s="3670"/>
      <c r="T48" s="3670">
        <f>IF(F1="售价",ROUND(PRODUCT(T47,AB7:AB46),0),ROUND(PRODUCT(T47,AB7:AB46),1))</f>
        <v>104.5</v>
      </c>
      <c r="U48" s="3670"/>
      <c r="V48" s="3670">
        <f>IF(F1="售价",ROUND(PRODUCT(V47,AC7:AC46),0),ROUND(PRODUCT(V47,AC7:AC46),1))</f>
        <v>108.4</v>
      </c>
      <c r="W48" s="3670"/>
      <c r="X48" s="690"/>
      <c r="Y48" s="690"/>
      <c r="Z48" s="690"/>
      <c r="AA48" s="690"/>
      <c r="AB48" s="690"/>
      <c r="AC48" s="690"/>
    </row>
    <row r="49" spans="1:29" ht="15.75" thickBot="1">
      <c r="A49" s="441" t="s">
        <v>1710</v>
      </c>
      <c r="B49" s="442"/>
      <c r="C49" s="1162">
        <f>R49</f>
        <v>108.3</v>
      </c>
      <c r="D49" s="1163"/>
      <c r="E49" s="1163"/>
      <c r="F49" s="1163"/>
      <c r="G49" s="1163"/>
      <c r="H49" s="1163"/>
      <c r="I49" s="1163"/>
      <c r="J49" s="1163"/>
      <c r="K49" s="1915"/>
      <c r="L49" s="2722"/>
      <c r="M49" s="2723"/>
      <c r="N49" s="2723"/>
      <c r="O49" s="2723"/>
      <c r="P49" s="3666" t="str">
        <f>A49</f>
        <v>估价对象XX用房的比较价值（楼面单价，元/平方米）</v>
      </c>
      <c r="Q49" s="3667"/>
      <c r="R49" s="3668">
        <f>IF(F1="售价",ROUND(IF(D48="简单平均",AVERAGE(R48:V48),R48*F48+T48*H48+V48*J48),0),ROUND(IF(D48="简单平均",AVERAGE(R48:V48),R48*F48+T48*H48+V48*J48),1))</f>
        <v>108.3</v>
      </c>
      <c r="S49" s="3668"/>
      <c r="T49" s="3668"/>
      <c r="U49" s="3668"/>
      <c r="V49" s="3668"/>
      <c r="W49" s="3668"/>
      <c r="X49" s="690"/>
      <c r="Y49" s="690"/>
      <c r="Z49" s="690"/>
      <c r="AA49" s="690"/>
      <c r="AB49" s="690"/>
      <c r="AC49" s="690"/>
    </row>
    <row r="50" spans="1:29">
      <c r="A50" s="2723"/>
      <c r="B50" s="2723"/>
      <c r="C50" s="2723">
        <f>108*0.9</f>
        <v>97.2</v>
      </c>
      <c r="D50" s="2723">
        <f>C49*1.1</f>
        <v>119.13000000000001</v>
      </c>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5.0000000000000044E-2</v>
      </c>
      <c r="F52" s="449" t="str">
        <f>IF(OR(E52&gt;=0.3,E52&lt;=-0.3),"超过30%","")</f>
        <v/>
      </c>
      <c r="G52" s="448">
        <f>IF(G47&lt;G48,G48/G47-1,G47/G48-1)</f>
        <v>0.12440191387559807</v>
      </c>
      <c r="H52" s="449" t="str">
        <f>IF(OR(G52&gt;=0.3,G52&lt;=-0.3),"超过30%","")</f>
        <v/>
      </c>
      <c r="I52" s="448">
        <f>IF(I47&lt;I48,I48/I47-1,I47/I48-1)</f>
        <v>0.11254612546125453</v>
      </c>
      <c r="J52" s="449" t="str">
        <f>IF(OR(I52&gt;=0.3,I52&lt;=-0.3),"超过30%","")</f>
        <v/>
      </c>
      <c r="K52" s="2728"/>
      <c r="L52" s="2724"/>
      <c r="M52" s="2723"/>
      <c r="N52" s="2723"/>
      <c r="O52" s="2723"/>
    </row>
    <row r="53" spans="1:29" ht="13.5" customHeight="1">
      <c r="A53" s="2723"/>
      <c r="B53" s="2723"/>
      <c r="C53" s="446" t="s">
        <v>1712</v>
      </c>
      <c r="D53" s="450"/>
      <c r="E53" s="448">
        <f>IF(E48&lt;G48,G48/E48-1,E48/G48-1)</f>
        <v>7.1770334928229707E-2</v>
      </c>
      <c r="F53" s="449" t="str">
        <f>IF(OR(E53&gt;=0.2,E53&lt;=-0.2),"超过20%","")</f>
        <v/>
      </c>
      <c r="G53" s="448">
        <f>IF(G48&lt;I48,I48/G48-1,G48/I48-1)</f>
        <v>3.7320574162679421E-2</v>
      </c>
      <c r="H53" s="449" t="str">
        <f>IF(OR(G53&gt;=0.2,G53&lt;=-0.2),"超过20%","")</f>
        <v/>
      </c>
      <c r="I53" s="448">
        <f>IF(I48&lt;E48,E48/I48-1,I48/E48-1)</f>
        <v>3.3210332103321027E-2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8.5106382978716866E-4</v>
      </c>
      <c r="F54" s="449" t="str">
        <f>IF(OR(E54&gt;=0.3,E54&lt;=-0.3),"超过30%","")</f>
        <v/>
      </c>
      <c r="G54" s="448">
        <f>IF(G47&lt;I47,I47/G47-1,G47/I47-1)</f>
        <v>2.6382978723404227E-2</v>
      </c>
      <c r="H54" s="449" t="str">
        <f>IF(OR(G54&gt;=0.3,G54&lt;=-0.3),"超过30%","")</f>
        <v/>
      </c>
      <c r="I54" s="448">
        <f>IF(I47&lt;E47,E47/I47-1,I47/E47-1)</f>
        <v>2.5510204081632626E-2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807" t="s">
        <v>3471</v>
      </c>
      <c r="D100" s="3807" t="s">
        <v>3474</v>
      </c>
      <c r="E100" s="3807" t="s">
        <v>3472</v>
      </c>
      <c r="F100" s="3807" t="s">
        <v>3469</v>
      </c>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3808" t="s">
        <v>3476</v>
      </c>
      <c r="D105" s="3808" t="s">
        <v>3456</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808" t="s">
        <v>3458</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106</v>
      </c>
      <c r="E113" s="493">
        <f>D113+$K37</f>
        <v>112</v>
      </c>
      <c r="F113" s="493">
        <f>E113+$K37</f>
        <v>118</v>
      </c>
      <c r="G113" s="493">
        <f>F113+$K37</f>
        <v>124</v>
      </c>
      <c r="H113" s="493">
        <f>G113+$K37</f>
        <v>130</v>
      </c>
      <c r="I113" s="531"/>
      <c r="J113" s="556"/>
      <c r="K113" s="556"/>
      <c r="L113" s="556"/>
      <c r="M113" s="557"/>
      <c r="N113" s="935"/>
      <c r="O113" s="935"/>
      <c r="P113" s="1923"/>
      <c r="Q113" s="508"/>
    </row>
    <row r="114" spans="1:17" ht="15" thickTop="1">
      <c r="A114" s="548"/>
      <c r="B114" s="487" t="s">
        <v>1741</v>
      </c>
      <c r="C114" s="3808" t="s">
        <v>3460</v>
      </c>
      <c r="D114" s="3808" t="s">
        <v>3462</v>
      </c>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808" t="s">
        <v>3463</v>
      </c>
      <c r="D116" s="3808" t="s">
        <v>3464</v>
      </c>
      <c r="E116" s="3808" t="s">
        <v>3465</v>
      </c>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809" t="s">
        <v>3467</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808" t="s">
        <v>3458</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808" t="s">
        <v>3481</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4" priority="19" stopIfTrue="1" operator="containsText" text="超过">
      <formula>NOT(ISERROR(SEARCH("超过",F52)))</formula>
    </cfRule>
  </conditionalFormatting>
  <conditionalFormatting sqref="J54">
    <cfRule type="containsText" dxfId="173" priority="18" stopIfTrue="1" operator="containsText" text="超过">
      <formula>NOT(ISERROR(SEARCH("超过",J54)))</formula>
    </cfRule>
  </conditionalFormatting>
  <conditionalFormatting sqref="H54">
    <cfRule type="containsText" dxfId="172" priority="17" stopIfTrue="1" operator="containsText" text="超过">
      <formula>NOT(ISERROR(SEARCH("超过",H54)))</formula>
    </cfRule>
  </conditionalFormatting>
  <conditionalFormatting sqref="F54">
    <cfRule type="containsText" dxfId="171" priority="16" stopIfTrue="1" operator="containsText" text="超过">
      <formula>NOT(ISERROR(SEARCH("超过",F54)))</formula>
    </cfRule>
  </conditionalFormatting>
  <conditionalFormatting sqref="F53 H53 J53">
    <cfRule type="containsText" dxfId="170" priority="15" stopIfTrue="1" operator="containsText" text="超过">
      <formula>NOT(ISERROR(SEARCH("超过",F53)))</formula>
    </cfRule>
  </conditionalFormatting>
  <conditionalFormatting sqref="E52">
    <cfRule type="expression" dxfId="169" priority="14"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3"/>
      <c r="M5" s="2714"/>
      <c r="N5" s="2714"/>
      <c r="O5" s="2714"/>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3"/>
      <c r="M6" s="2714"/>
      <c r="N6" s="2714"/>
      <c r="O6" s="2714"/>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估价对象周边有21路、40路、414路等多条公共线路，距地铁1号线、9号线换乘站（军事博物馆站）约700米，路边可停车，综合评价交通便捷度较好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区域自然环境：西护城河、中华世纪坛公园；人文环境；军事博物馆；综合评价环境状况较好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3"/>
      <c r="M5" s="2714"/>
      <c r="N5" s="2714"/>
      <c r="O5" s="2714"/>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3"/>
      <c r="M6" s="2714"/>
      <c r="N6" s="2714"/>
      <c r="O6" s="2714"/>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估价对象周边有21路、40路、414路等多条公共线路，距地铁1号线、9号线换乘站（军事博物馆站）约700米，路边可停车，综合评价交通便捷度较好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区域自然环境：西护城河、中华世纪坛公园；人文环境；军事博物馆；综合评价环境状况较好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估价对象周边有21路、40路、414路等多条公共线路，距地铁1号线、9号线换乘站（军事博物馆站）约700米，路边可停车，综合评价交通便捷度较好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区域自然环境：西护城河、中华世纪坛公园；人文环境；军事博物馆；综合评价环境状况较好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估价对象周边有21路、40路、414路等多条公共线路，距地铁1号线、9号线换乘站（军事博物馆站）约700米，路边可停车，综合评价交通便捷度较好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区域自然环境：西护城河、中华世纪坛公园；人文环境；军事博物馆；综合评价环境状况较好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3"/>
      <c r="M5" s="2714"/>
      <c r="N5" s="2714"/>
      <c r="O5" s="2714"/>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3"/>
      <c r="M6" s="2714"/>
      <c r="N6" s="2714"/>
      <c r="O6" s="2714"/>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69"/>
      <c r="Q10" s="1343" t="str">
        <f t="shared" si="6"/>
        <v>土地使用年限（年）</v>
      </c>
      <c r="R10" s="701" t="s">
        <v>14</v>
      </c>
      <c r="S10" s="702" t="e">
        <f t="shared" si="0"/>
        <v>#DIV/0!</v>
      </c>
      <c r="T10" s="701" t="s">
        <v>14</v>
      </c>
      <c r="U10" s="702" t="e">
        <f t="shared" si="1"/>
        <v>#DIV/0!</v>
      </c>
      <c r="V10" s="701" t="s">
        <v>14</v>
      </c>
      <c r="W10" s="702" t="e">
        <f t="shared" si="2"/>
        <v>#DIV/0!</v>
      </c>
      <c r="X10" s="703"/>
      <c r="Y10" s="354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估价对象周边有铁西宿舍、复兴路12号院、会城门小区、电信宿舍、什坊院、羊坊店西路等社区，综合评价居住社区成熟度较好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估价对象周边有21路、40路、414路等多条公共线路，距地铁1号线、9号线换乘站（军事博物馆站）约700米，路边可停车，综合评价交通便捷度较好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区域自然环境：西护城河、中华世纪坛公园；人文环境；军事博物馆；综合评价环境状况较好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680"/>
      <c r="H56" s="366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3"/>
      <c r="M4" s="2714"/>
      <c r="N4" s="2714"/>
      <c r="O4" s="27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3"/>
      <c r="M5" s="2714"/>
      <c r="N5" s="2714"/>
      <c r="O5" s="2714"/>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69"/>
      <c r="Q10" s="1343" t="str">
        <f t="shared" si="6"/>
        <v>土地使用年限（年）</v>
      </c>
      <c r="R10" s="701" t="s">
        <v>14</v>
      </c>
      <c r="S10" s="702" t="e">
        <f t="shared" si="0"/>
        <v>#DIV/0!</v>
      </c>
      <c r="T10" s="701" t="s">
        <v>14</v>
      </c>
      <c r="U10" s="702" t="e">
        <f t="shared" si="1"/>
        <v>#DIV/0!</v>
      </c>
      <c r="V10" s="701" t="s">
        <v>14</v>
      </c>
      <c r="W10" s="702" t="e">
        <f t="shared" si="2"/>
        <v>#DIV/0!</v>
      </c>
      <c r="X10" s="703"/>
      <c r="Y10" s="354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680"/>
      <c r="H51" s="366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1AE8-E462-491F-ABC6-CD5BCB877B3E}">
  <sheetPr>
    <tabColor rgb="FF92D050"/>
    <pageSetUpPr fitToPage="1"/>
  </sheetPr>
  <dimension ref="A1:AC148"/>
  <sheetViews>
    <sheetView view="pageBreakPreview" topLeftCell="B27" zoomScale="85" zoomScaleNormal="60" zoomScaleSheetLayoutView="85" workbookViewId="0">
      <selection activeCell="D128" sqref="D12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94.6</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3"/>
      <c r="M4" s="2714"/>
      <c r="N4" s="2714"/>
      <c r="O4" s="2714"/>
      <c r="P4" s="3688" t="s">
        <v>1672</v>
      </c>
      <c r="Q4" s="3689"/>
      <c r="R4" s="3694" t="s">
        <v>1668</v>
      </c>
      <c r="S4" s="3695"/>
      <c r="T4" s="3694" t="s">
        <v>1669</v>
      </c>
      <c r="U4" s="3695"/>
      <c r="V4" s="3700" t="s">
        <v>1670</v>
      </c>
      <c r="W4" s="3700"/>
      <c r="X4" s="3450"/>
      <c r="Y4" s="3694" t="s">
        <v>1672</v>
      </c>
      <c r="Z4" s="3695"/>
      <c r="AA4" s="3681" t="s">
        <v>1668</v>
      </c>
      <c r="AB4" s="3681" t="s">
        <v>1669</v>
      </c>
      <c r="AC4" s="3681" t="s">
        <v>1670</v>
      </c>
    </row>
    <row r="5" spans="1:29" ht="15">
      <c r="A5" s="358"/>
      <c r="B5" s="359"/>
      <c r="C5" s="3703" t="s">
        <v>1673</v>
      </c>
      <c r="D5" s="3704"/>
      <c r="E5" s="3710" t="str">
        <f>案例!A19</f>
        <v>羊坊店16号院&lt;羊坊店、五棵松&lt;海淀区</v>
      </c>
      <c r="F5" s="3711"/>
      <c r="G5" s="3703" t="str">
        <f>案例!A54</f>
        <v>什坊院&lt;羊坊店、五棵松&lt;海淀区</v>
      </c>
      <c r="H5" s="3704"/>
      <c r="I5" s="3703" t="str">
        <f>案例!A57</f>
        <v>羊坊店西路&lt;羊坊店、五棵松&lt;海淀区</v>
      </c>
      <c r="J5" s="3704"/>
      <c r="K5" s="1890"/>
      <c r="L5" s="2713"/>
      <c r="M5" s="2714"/>
      <c r="N5" s="2714"/>
      <c r="O5" s="2714"/>
      <c r="P5" s="3690"/>
      <c r="Q5" s="3691"/>
      <c r="R5" s="3696"/>
      <c r="S5" s="3697"/>
      <c r="T5" s="3696"/>
      <c r="U5" s="3697"/>
      <c r="V5" s="3700"/>
      <c r="W5" s="3700"/>
      <c r="X5" s="3450"/>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3"/>
      <c r="M6" s="2714"/>
      <c r="N6" s="2714"/>
      <c r="O6" s="2714"/>
      <c r="P6" s="3692"/>
      <c r="Q6" s="3693"/>
      <c r="R6" s="3696"/>
      <c r="S6" s="3697"/>
      <c r="T6" s="3698"/>
      <c r="U6" s="3699"/>
      <c r="V6" s="3700"/>
      <c r="W6" s="3700"/>
      <c r="X6" s="3450"/>
      <c r="Y6" s="3698"/>
      <c r="Z6" s="3699"/>
      <c r="AA6" s="3683"/>
      <c r="AB6" s="3683"/>
      <c r="AC6" s="3683"/>
    </row>
    <row r="7" spans="1:29" s="108" customFormat="1" ht="15.75" thickBot="1">
      <c r="A7" s="362" t="s">
        <v>1679</v>
      </c>
      <c r="B7" s="363"/>
      <c r="C7" s="364">
        <f>'数据-取费表'!B2</f>
        <v>45076</v>
      </c>
      <c r="D7" s="365">
        <v>100</v>
      </c>
      <c r="E7" s="366">
        <v>45047</v>
      </c>
      <c r="F7" s="367">
        <f>SUMIF(58:58,YEAR(E7)&amp;"-"&amp;MONTH(E7),59:59)</f>
        <v>100</v>
      </c>
      <c r="G7" s="366">
        <f>E7</f>
        <v>45047</v>
      </c>
      <c r="H7" s="365">
        <f>SUMIF(58:58,YEAR(G7)&amp;"-"&amp;MONTH(G7),59:59)</f>
        <v>100</v>
      </c>
      <c r="I7" s="366">
        <f>E7</f>
        <v>45047</v>
      </c>
      <c r="J7" s="365">
        <f>SUMIF(58:58,YEAR(I7)&amp;"-"&amp;MONTH(I7),59:59)</f>
        <v>100</v>
      </c>
      <c r="K7" s="1891"/>
      <c r="L7" s="2715"/>
      <c r="M7" s="2716"/>
      <c r="N7" s="2716"/>
      <c r="O7" s="2716"/>
      <c r="P7" s="3705" t="s">
        <v>1680</v>
      </c>
      <c r="Q7" s="3707"/>
      <c r="R7" s="701" t="s">
        <v>14</v>
      </c>
      <c r="S7" s="702">
        <f t="shared" ref="S7:S15" si="0">F7</f>
        <v>100</v>
      </c>
      <c r="T7" s="701" t="s">
        <v>14</v>
      </c>
      <c r="U7" s="702">
        <f t="shared" ref="U7:U15" si="1">H7</f>
        <v>100</v>
      </c>
      <c r="V7" s="701" t="s">
        <v>14</v>
      </c>
      <c r="W7" s="702">
        <f t="shared" ref="W7:W15" si="2">J7</f>
        <v>100</v>
      </c>
      <c r="X7" s="703"/>
      <c r="Y7" s="3705" t="s">
        <v>1680</v>
      </c>
      <c r="Z7" s="3706"/>
      <c r="AA7" s="704">
        <f>D7/F7</f>
        <v>1</v>
      </c>
      <c r="AB7" s="704">
        <f>D7/H7</f>
        <v>1</v>
      </c>
      <c r="AC7" s="704">
        <f>D7/J7</f>
        <v>1</v>
      </c>
    </row>
    <row r="8" spans="1:29" s="108" customFormat="1" ht="15.75" thickBot="1">
      <c r="A8" s="362" t="s">
        <v>1681</v>
      </c>
      <c r="B8" s="363"/>
      <c r="C8" s="368" t="s">
        <v>3442</v>
      </c>
      <c r="D8" s="365">
        <v>100</v>
      </c>
      <c r="E8" s="1892" t="s">
        <v>3442</v>
      </c>
      <c r="F8" s="367">
        <f>SUMIF(61:61,E8,62:62)-SUMIF(61:61,C8,62:62)+100</f>
        <v>100</v>
      </c>
      <c r="G8" s="368" t="s">
        <v>3442</v>
      </c>
      <c r="H8" s="365">
        <f>SUMIF(61:61,G8,62:62)-SUMIF(61:61,C8,62:62)+100</f>
        <v>100</v>
      </c>
      <c r="I8" s="1892" t="s">
        <v>3442</v>
      </c>
      <c r="J8" s="365">
        <f>SUMIF(61:61,I8,62:62)-SUMIF(61:61,C8,62:62)+100</f>
        <v>100</v>
      </c>
      <c r="K8" s="1891"/>
      <c r="L8" s="2715"/>
      <c r="M8" s="2716"/>
      <c r="N8" s="2716"/>
      <c r="O8" s="2716"/>
      <c r="P8" s="3705" t="s">
        <v>1683</v>
      </c>
      <c r="Q8" s="3706"/>
      <c r="R8" s="701" t="s">
        <v>14</v>
      </c>
      <c r="S8" s="702">
        <f t="shared" si="0"/>
        <v>100</v>
      </c>
      <c r="T8" s="701" t="s">
        <v>14</v>
      </c>
      <c r="U8" s="702">
        <f t="shared" si="1"/>
        <v>100</v>
      </c>
      <c r="V8" s="701" t="s">
        <v>14</v>
      </c>
      <c r="W8" s="702">
        <f t="shared" si="2"/>
        <v>100</v>
      </c>
      <c r="X8" s="703"/>
      <c r="Y8" s="3705" t="s">
        <v>1683</v>
      </c>
      <c r="Z8" s="3706"/>
      <c r="AA8" s="704">
        <f t="shared" ref="AA8:AA19" si="3">D8/F8</f>
        <v>1</v>
      </c>
      <c r="AB8" s="704">
        <f t="shared" ref="AB8:AB19" si="4">D8/H8</f>
        <v>1</v>
      </c>
      <c r="AC8" s="704">
        <f t="shared" ref="AC8:AC19" si="5">D8/J8</f>
        <v>1</v>
      </c>
    </row>
    <row r="9" spans="1:29" s="108" customFormat="1" ht="15" thickBot="1">
      <c r="A9" s="369" t="s">
        <v>1684</v>
      </c>
      <c r="B9" s="63" t="s">
        <v>1685</v>
      </c>
      <c r="C9" s="3802" t="s">
        <v>3444</v>
      </c>
      <c r="D9" s="126">
        <v>100</v>
      </c>
      <c r="E9" s="371" t="s">
        <v>3443</v>
      </c>
      <c r="F9" s="372">
        <f>SUMIF(63:63,E9,64:64)-SUMIF(63:63,C9,64:64)+100</f>
        <v>100</v>
      </c>
      <c r="G9" s="373" t="s">
        <v>3443</v>
      </c>
      <c r="H9" s="126">
        <f>SUMIF(63:63,G9,64:64)-SUMIF(63:63,C9,64:64)+100</f>
        <v>100</v>
      </c>
      <c r="I9" s="373" t="s">
        <v>3443</v>
      </c>
      <c r="J9" s="126">
        <f>SUMIF(63:63,I9,64:64)-SUMIF(63:63,C9,64:64)+100</f>
        <v>100</v>
      </c>
      <c r="K9" s="1891"/>
      <c r="L9" s="2715"/>
      <c r="M9" s="2716"/>
      <c r="N9" s="2716"/>
      <c r="O9" s="2716"/>
      <c r="P9" s="3680" t="s">
        <v>1686</v>
      </c>
      <c r="Q9" s="3449" t="str">
        <f t="shared" ref="Q9:Q15" si="6">B9</f>
        <v>用途</v>
      </c>
      <c r="R9" s="701" t="s">
        <v>14</v>
      </c>
      <c r="S9" s="702">
        <f t="shared" si="0"/>
        <v>100</v>
      </c>
      <c r="T9" s="701" t="s">
        <v>14</v>
      </c>
      <c r="U9" s="702">
        <f t="shared" si="1"/>
        <v>100</v>
      </c>
      <c r="V9" s="701" t="s">
        <v>14</v>
      </c>
      <c r="W9" s="702">
        <f t="shared" si="2"/>
        <v>100</v>
      </c>
      <c r="X9" s="703"/>
      <c r="Y9" s="3544" t="s">
        <v>1687</v>
      </c>
      <c r="Z9" s="3448" t="str">
        <f t="shared" ref="Z9:Z15" si="7">Q9</f>
        <v>用途</v>
      </c>
      <c r="AA9" s="704">
        <f t="shared" si="3"/>
        <v>1</v>
      </c>
      <c r="AB9" s="704">
        <f t="shared" si="4"/>
        <v>1</v>
      </c>
      <c r="AC9" s="704">
        <f t="shared" si="5"/>
        <v>1</v>
      </c>
    </row>
    <row r="10" spans="1:29" s="378" customFormat="1" ht="27.75" hidden="1" thickBot="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3449" t="str">
        <f t="shared" si="6"/>
        <v>土地使用年限（年）</v>
      </c>
      <c r="R10" s="701" t="s">
        <v>14</v>
      </c>
      <c r="S10" s="702">
        <f t="shared" si="0"/>
        <v>100</v>
      </c>
      <c r="T10" s="701" t="s">
        <v>14</v>
      </c>
      <c r="U10" s="702">
        <f t="shared" si="1"/>
        <v>100</v>
      </c>
      <c r="V10" s="701" t="s">
        <v>14</v>
      </c>
      <c r="W10" s="702">
        <f t="shared" si="2"/>
        <v>100</v>
      </c>
      <c r="X10" s="703"/>
      <c r="Y10" s="3544"/>
      <c r="Z10" s="3448" t="str">
        <f t="shared" si="7"/>
        <v>土地使用年限（年）</v>
      </c>
      <c r="AA10" s="704">
        <f t="shared" si="3"/>
        <v>1</v>
      </c>
      <c r="AB10" s="704">
        <f t="shared" si="4"/>
        <v>1</v>
      </c>
      <c r="AC10" s="704">
        <f t="shared" si="5"/>
        <v>1</v>
      </c>
    </row>
    <row r="11" spans="1:29" ht="15.75" hidden="1" thickBot="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680"/>
      <c r="Q11" s="3449" t="str">
        <f t="shared" si="6"/>
        <v>容积率</v>
      </c>
      <c r="R11" s="701" t="s">
        <v>14</v>
      </c>
      <c r="S11" s="702">
        <f t="shared" si="0"/>
        <v>100</v>
      </c>
      <c r="T11" s="701" t="s">
        <v>14</v>
      </c>
      <c r="U11" s="702">
        <f t="shared" si="1"/>
        <v>100</v>
      </c>
      <c r="V11" s="701" t="s">
        <v>14</v>
      </c>
      <c r="W11" s="702">
        <f t="shared" si="2"/>
        <v>100</v>
      </c>
      <c r="X11" s="703"/>
      <c r="Y11" s="3544"/>
      <c r="Z11" s="3448"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3449">
        <f t="shared" si="6"/>
        <v>111</v>
      </c>
      <c r="R12" s="701" t="s">
        <v>14</v>
      </c>
      <c r="S12" s="702">
        <f t="shared" si="0"/>
        <v>100</v>
      </c>
      <c r="T12" s="701" t="s">
        <v>14</v>
      </c>
      <c r="U12" s="702">
        <f t="shared" si="1"/>
        <v>100</v>
      </c>
      <c r="V12" s="701" t="s">
        <v>14</v>
      </c>
      <c r="W12" s="702">
        <f t="shared" si="2"/>
        <v>100</v>
      </c>
      <c r="X12" s="703"/>
      <c r="Y12" s="3544"/>
      <c r="Z12" s="3448">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3449">
        <f t="shared" si="6"/>
        <v>111</v>
      </c>
      <c r="R13" s="701" t="s">
        <v>14</v>
      </c>
      <c r="S13" s="702">
        <f t="shared" si="0"/>
        <v>100</v>
      </c>
      <c r="T13" s="701" t="s">
        <v>14</v>
      </c>
      <c r="U13" s="702">
        <f t="shared" si="1"/>
        <v>100</v>
      </c>
      <c r="V13" s="701" t="s">
        <v>14</v>
      </c>
      <c r="W13" s="702">
        <f t="shared" si="2"/>
        <v>100</v>
      </c>
      <c r="X13" s="703"/>
      <c r="Y13" s="3544"/>
      <c r="Z13" s="3448">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3449">
        <f t="shared" si="6"/>
        <v>111</v>
      </c>
      <c r="R14" s="701" t="s">
        <v>14</v>
      </c>
      <c r="S14" s="702">
        <f t="shared" si="0"/>
        <v>100</v>
      </c>
      <c r="T14" s="701" t="s">
        <v>14</v>
      </c>
      <c r="U14" s="702">
        <f t="shared" si="1"/>
        <v>100</v>
      </c>
      <c r="V14" s="701" t="s">
        <v>14</v>
      </c>
      <c r="W14" s="702">
        <f t="shared" si="2"/>
        <v>100</v>
      </c>
      <c r="X14" s="703"/>
      <c r="Y14" s="3544"/>
      <c r="Z14" s="3448">
        <f t="shared" si="7"/>
        <v>111</v>
      </c>
      <c r="AA14" s="704">
        <f t="shared" si="3"/>
        <v>1</v>
      </c>
      <c r="AB14" s="704">
        <f t="shared" si="4"/>
        <v>1</v>
      </c>
      <c r="AC14" s="704">
        <f t="shared" si="5"/>
        <v>1</v>
      </c>
    </row>
    <row r="15" spans="1:29" ht="99.75">
      <c r="A15" s="391" t="s">
        <v>1690</v>
      </c>
      <c r="B15" s="61" t="s">
        <v>1257</v>
      </c>
      <c r="C15" s="1896" t="str">
        <f>估价对象房地状况!C3</f>
        <v>估价对象周边有铁西宿舍、复兴路12号院、会城门小区、电信宿舍、什坊院、羊坊店西路等社区，综合评价居住社区成熟度较好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8" t="s">
        <v>1691</v>
      </c>
      <c r="Q15" s="3452" t="str">
        <f t="shared" si="6"/>
        <v>居住社区成熟度</v>
      </c>
      <c r="R15" s="705" t="s">
        <v>14</v>
      </c>
      <c r="S15" s="706">
        <f t="shared" si="0"/>
        <v>100</v>
      </c>
      <c r="T15" s="705" t="s">
        <v>14</v>
      </c>
      <c r="U15" s="706">
        <f t="shared" si="1"/>
        <v>100</v>
      </c>
      <c r="V15" s="705" t="s">
        <v>14</v>
      </c>
      <c r="W15" s="706">
        <f t="shared" si="2"/>
        <v>100</v>
      </c>
      <c r="X15" s="3450"/>
      <c r="Y15" s="3671" t="s">
        <v>1691</v>
      </c>
      <c r="Z15" s="3451" t="str">
        <f t="shared" si="7"/>
        <v>居住社区成熟度</v>
      </c>
      <c r="AA15" s="3453">
        <f t="shared" si="3"/>
        <v>1</v>
      </c>
      <c r="AB15" s="3453">
        <f t="shared" si="4"/>
        <v>1</v>
      </c>
      <c r="AC15" s="3453">
        <f t="shared" si="5"/>
        <v>1</v>
      </c>
    </row>
    <row r="16" spans="1:29" ht="15">
      <c r="A16" s="379"/>
      <c r="B16" s="397"/>
      <c r="C16" s="398" t="s">
        <v>3445</v>
      </c>
      <c r="D16" s="399"/>
      <c r="E16" s="1897" t="s">
        <v>3445</v>
      </c>
      <c r="F16" s="399"/>
      <c r="G16" s="1898" t="s">
        <v>3445</v>
      </c>
      <c r="H16" s="401"/>
      <c r="I16" s="1898" t="s">
        <v>3445</v>
      </c>
      <c r="J16" s="399"/>
      <c r="K16" s="1899"/>
      <c r="L16" s="2720"/>
      <c r="M16" s="2714"/>
      <c r="N16" s="2714"/>
      <c r="O16" s="2714"/>
      <c r="P16" s="3679"/>
      <c r="Q16" s="3452"/>
      <c r="R16" s="705"/>
      <c r="S16" s="706"/>
      <c r="T16" s="705"/>
      <c r="U16" s="706"/>
      <c r="V16" s="705"/>
      <c r="W16" s="706"/>
      <c r="X16" s="3450"/>
      <c r="Y16" s="3672"/>
      <c r="Z16" s="3451"/>
      <c r="AA16" s="3453">
        <v>1</v>
      </c>
      <c r="AB16" s="3453">
        <v>1</v>
      </c>
      <c r="AC16" s="3453">
        <v>1</v>
      </c>
    </row>
    <row r="17" spans="1:29" ht="128.25">
      <c r="A17" s="379"/>
      <c r="B17" s="402" t="s">
        <v>1259</v>
      </c>
      <c r="C17" s="1900" t="str">
        <f>估价对象房地状况!C6</f>
        <v>估价对象周边有21路、40路、414路等多条公共线路，距地铁1号线、9号线换乘站（军事博物馆站）约700米，路边可停车，综合评价交通便捷度较好</v>
      </c>
      <c r="D17" s="401">
        <v>100</v>
      </c>
      <c r="E17" s="405"/>
      <c r="F17" s="401">
        <f>SUMIF(78:78,E18,79:79)-SUMIF(78:78,C18,79:79)+100</f>
        <v>105</v>
      </c>
      <c r="G17" s="403"/>
      <c r="H17" s="406">
        <f>SUMIF(78:78,G18,79:79)-SUMIF(78:78,C18,79:79)+100</f>
        <v>105</v>
      </c>
      <c r="I17" s="403"/>
      <c r="J17" s="406">
        <f>SUMIF(78:78,I18,79:79)-SUMIF(78:78,C18,79:79)+100</f>
        <v>105</v>
      </c>
      <c r="K17" s="396">
        <v>5</v>
      </c>
      <c r="L17" s="2720"/>
      <c r="M17" s="2714"/>
      <c r="N17" s="2714"/>
      <c r="O17" s="2714"/>
      <c r="P17" s="3679"/>
      <c r="Q17" s="3452" t="str">
        <f>B17</f>
        <v>交通便捷度</v>
      </c>
      <c r="R17" s="705" t="s">
        <v>14</v>
      </c>
      <c r="S17" s="706">
        <f>F17</f>
        <v>105</v>
      </c>
      <c r="T17" s="705" t="s">
        <v>14</v>
      </c>
      <c r="U17" s="706">
        <f>H17</f>
        <v>105</v>
      </c>
      <c r="V17" s="705" t="s">
        <v>14</v>
      </c>
      <c r="W17" s="706">
        <f>J17</f>
        <v>105</v>
      </c>
      <c r="X17" s="3450"/>
      <c r="Y17" s="3672"/>
      <c r="Z17" s="3451" t="str">
        <f>Q17</f>
        <v>交通便捷度</v>
      </c>
      <c r="AA17" s="3453">
        <f t="shared" si="3"/>
        <v>0.95238095238095233</v>
      </c>
      <c r="AB17" s="3453">
        <f t="shared" si="4"/>
        <v>0.95238095238095233</v>
      </c>
      <c r="AC17" s="3453">
        <f t="shared" si="5"/>
        <v>0.95238095238095233</v>
      </c>
    </row>
    <row r="18" spans="1:29" ht="15">
      <c r="A18" s="379"/>
      <c r="B18" s="407"/>
      <c r="C18" s="1901" t="s">
        <v>3445</v>
      </c>
      <c r="D18" s="401"/>
      <c r="E18" s="1902" t="s">
        <v>3452</v>
      </c>
      <c r="F18" s="401"/>
      <c r="G18" s="1903" t="s">
        <v>3452</v>
      </c>
      <c r="H18" s="399"/>
      <c r="I18" s="1903" t="s">
        <v>3452</v>
      </c>
      <c r="J18" s="399"/>
      <c r="K18" s="1899"/>
      <c r="L18" s="2720"/>
      <c r="M18" s="2714"/>
      <c r="N18" s="2714"/>
      <c r="O18" s="2714"/>
      <c r="P18" s="3679"/>
      <c r="Q18" s="3452"/>
      <c r="R18" s="705"/>
      <c r="S18" s="706"/>
      <c r="T18" s="705"/>
      <c r="U18" s="706"/>
      <c r="V18" s="705"/>
      <c r="W18" s="706"/>
      <c r="X18" s="3450"/>
      <c r="Y18" s="3672"/>
      <c r="Z18" s="3451"/>
      <c r="AA18" s="3453">
        <v>1</v>
      </c>
      <c r="AB18" s="3453">
        <v>1</v>
      </c>
      <c r="AC18" s="3453">
        <v>1</v>
      </c>
    </row>
    <row r="19" spans="1:29" ht="28.5">
      <c r="A19" s="379"/>
      <c r="B19" s="402" t="s">
        <v>1258</v>
      </c>
      <c r="C19" s="1900" t="str">
        <f>估价对象房地状况!C7</f>
        <v>估价对象所在区域公共配套设施齐备</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9"/>
      <c r="Q19" s="3452" t="str">
        <f>B19</f>
        <v>公共配套设施</v>
      </c>
      <c r="R19" s="705" t="s">
        <v>14</v>
      </c>
      <c r="S19" s="706">
        <f>F19</f>
        <v>100</v>
      </c>
      <c r="T19" s="705" t="s">
        <v>14</v>
      </c>
      <c r="U19" s="706">
        <f>H19</f>
        <v>100</v>
      </c>
      <c r="V19" s="705" t="s">
        <v>14</v>
      </c>
      <c r="W19" s="706">
        <f>J19</f>
        <v>100</v>
      </c>
      <c r="X19" s="3450"/>
      <c r="Y19" s="3672"/>
      <c r="Z19" s="3451" t="str">
        <f>Q19</f>
        <v>公共配套设施</v>
      </c>
      <c r="AA19" s="3453">
        <f t="shared" si="3"/>
        <v>1</v>
      </c>
      <c r="AB19" s="3453">
        <f t="shared" si="4"/>
        <v>1</v>
      </c>
      <c r="AC19" s="3453">
        <f t="shared" si="5"/>
        <v>1</v>
      </c>
    </row>
    <row r="20" spans="1:29" ht="15">
      <c r="A20" s="379"/>
      <c r="B20" s="407"/>
      <c r="C20" s="398" t="s">
        <v>3452</v>
      </c>
      <c r="D20" s="399"/>
      <c r="E20" s="1897" t="s">
        <v>3452</v>
      </c>
      <c r="F20" s="399"/>
      <c r="G20" s="1898" t="s">
        <v>3452</v>
      </c>
      <c r="H20" s="399"/>
      <c r="I20" s="1898" t="s">
        <v>3452</v>
      </c>
      <c r="J20" s="399"/>
      <c r="K20" s="1899"/>
      <c r="L20" s="2720"/>
      <c r="M20" s="2714"/>
      <c r="N20" s="2714"/>
      <c r="O20" s="2714"/>
      <c r="P20" s="3679"/>
      <c r="Q20" s="3452"/>
      <c r="R20" s="705"/>
      <c r="S20" s="706"/>
      <c r="T20" s="705"/>
      <c r="U20" s="706"/>
      <c r="V20" s="705"/>
      <c r="W20" s="706"/>
      <c r="X20" s="3450"/>
      <c r="Y20" s="3672"/>
      <c r="Z20" s="3451"/>
      <c r="AA20" s="3453">
        <v>1</v>
      </c>
      <c r="AB20" s="3453">
        <v>1</v>
      </c>
      <c r="AC20" s="34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9"/>
      <c r="Q21" s="3452" t="str">
        <f>B21</f>
        <v>基础设施水平</v>
      </c>
      <c r="R21" s="705" t="s">
        <v>14</v>
      </c>
      <c r="S21" s="706">
        <f>F21</f>
        <v>100</v>
      </c>
      <c r="T21" s="705" t="s">
        <v>14</v>
      </c>
      <c r="U21" s="706">
        <f>H21</f>
        <v>100</v>
      </c>
      <c r="V21" s="705" t="s">
        <v>14</v>
      </c>
      <c r="W21" s="706">
        <f>J21</f>
        <v>100</v>
      </c>
      <c r="X21" s="3450"/>
      <c r="Y21" s="3672"/>
      <c r="Z21" s="3451" t="str">
        <f>Q21</f>
        <v>基础设施水平</v>
      </c>
      <c r="AA21" s="3453">
        <f t="shared" ref="AA21" si="8">D21/F21</f>
        <v>1</v>
      </c>
      <c r="AB21" s="3453">
        <f t="shared" ref="AB21" si="9">D21/H21</f>
        <v>1</v>
      </c>
      <c r="AC21" s="3453">
        <f t="shared" ref="AC21" si="10">D21/J21</f>
        <v>1</v>
      </c>
    </row>
    <row r="22" spans="1:29" ht="15">
      <c r="A22" s="379"/>
      <c r="B22" s="1131"/>
      <c r="C22" s="1901" t="s">
        <v>3454</v>
      </c>
      <c r="D22" s="399"/>
      <c r="E22" s="398" t="s">
        <v>3454</v>
      </c>
      <c r="F22" s="399"/>
      <c r="G22" s="1904" t="s">
        <v>3454</v>
      </c>
      <c r="H22" s="399"/>
      <c r="I22" s="398" t="s">
        <v>3454</v>
      </c>
      <c r="J22" s="399"/>
      <c r="K22" s="1905"/>
      <c r="L22" s="2720"/>
      <c r="M22" s="2714"/>
      <c r="N22" s="2714"/>
      <c r="O22" s="2714"/>
      <c r="P22" s="3679"/>
      <c r="Q22" s="3452"/>
      <c r="R22" s="705"/>
      <c r="S22" s="706"/>
      <c r="T22" s="705"/>
      <c r="U22" s="706"/>
      <c r="V22" s="705"/>
      <c r="W22" s="706"/>
      <c r="X22" s="3450"/>
      <c r="Y22" s="3672"/>
      <c r="Z22" s="3451"/>
      <c r="AA22" s="3453">
        <v>1</v>
      </c>
      <c r="AB22" s="3453">
        <v>1</v>
      </c>
      <c r="AC22" s="3453">
        <v>1</v>
      </c>
    </row>
    <row r="23" spans="1:29" ht="85.5">
      <c r="A23" s="379"/>
      <c r="B23" s="402" t="s">
        <v>1261</v>
      </c>
      <c r="C23" s="1900" t="str">
        <f>估价对象房地状况!C9</f>
        <v>区域自然环境：西护城河、中华世纪坛公园；人文环境；军事博物馆；综合评价环境状况较好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9"/>
      <c r="Q23" s="3452" t="str">
        <f>B23</f>
        <v>自然及人文环境</v>
      </c>
      <c r="R23" s="705" t="s">
        <v>14</v>
      </c>
      <c r="S23" s="706">
        <f>F23</f>
        <v>100</v>
      </c>
      <c r="T23" s="705" t="s">
        <v>14</v>
      </c>
      <c r="U23" s="706">
        <f>H23</f>
        <v>100</v>
      </c>
      <c r="V23" s="705" t="s">
        <v>14</v>
      </c>
      <c r="W23" s="706">
        <f>J23</f>
        <v>100</v>
      </c>
      <c r="X23" s="3450"/>
      <c r="Y23" s="3672"/>
      <c r="Z23" s="3451" t="str">
        <f>Q23</f>
        <v>自然及人文环境</v>
      </c>
      <c r="AA23" s="3453">
        <f>D23/F23</f>
        <v>1</v>
      </c>
      <c r="AB23" s="3453">
        <f>D23/H23</f>
        <v>1</v>
      </c>
      <c r="AC23" s="3453">
        <f>D23/J23</f>
        <v>1</v>
      </c>
    </row>
    <row r="24" spans="1:29" ht="15">
      <c r="A24" s="379"/>
      <c r="B24" s="407"/>
      <c r="C24" s="398" t="s">
        <v>3445</v>
      </c>
      <c r="D24" s="399"/>
      <c r="E24" s="1897" t="s">
        <v>3445</v>
      </c>
      <c r="F24" s="399"/>
      <c r="G24" s="1898" t="s">
        <v>3445</v>
      </c>
      <c r="H24" s="399"/>
      <c r="I24" s="1898" t="s">
        <v>3445</v>
      </c>
      <c r="J24" s="399"/>
      <c r="K24" s="1899"/>
      <c r="L24" s="2720"/>
      <c r="M24" s="2714"/>
      <c r="N24" s="2714"/>
      <c r="O24" s="2714"/>
      <c r="P24" s="3679"/>
      <c r="Q24" s="3452"/>
      <c r="R24" s="705"/>
      <c r="S24" s="706"/>
      <c r="T24" s="705"/>
      <c r="U24" s="706"/>
      <c r="V24" s="705"/>
      <c r="W24" s="706"/>
      <c r="X24" s="3450"/>
      <c r="Y24" s="3672"/>
      <c r="Z24" s="3451"/>
      <c r="AA24" s="3453">
        <v>1</v>
      </c>
      <c r="AB24" s="3453">
        <v>1</v>
      </c>
      <c r="AC24" s="34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9"/>
      <c r="Q25" s="3452"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672"/>
      <c r="Z25" s="3451" t="str">
        <f>Q25</f>
        <v>楼层-1</v>
      </c>
      <c r="AA25" s="3453">
        <f t="shared" ref="AA25:AA46" si="15">D25/F25</f>
        <v>1</v>
      </c>
      <c r="AB25" s="3453">
        <f t="shared" ref="AB25:AB46" si="16">D25/H25</f>
        <v>1</v>
      </c>
      <c r="AC25" s="34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9"/>
      <c r="Q26" s="3452" t="str">
        <f t="shared" si="11"/>
        <v>朝向</v>
      </c>
      <c r="R26" s="705" t="s">
        <v>14</v>
      </c>
      <c r="S26" s="706">
        <f t="shared" si="12"/>
        <v>100</v>
      </c>
      <c r="T26" s="705" t="s">
        <v>14</v>
      </c>
      <c r="U26" s="706">
        <f t="shared" si="13"/>
        <v>100</v>
      </c>
      <c r="V26" s="705" t="s">
        <v>14</v>
      </c>
      <c r="W26" s="706">
        <f t="shared" si="14"/>
        <v>100</v>
      </c>
      <c r="X26" s="3450"/>
      <c r="Y26" s="3672"/>
      <c r="Z26" s="3451" t="str">
        <f>Q26</f>
        <v>朝向</v>
      </c>
      <c r="AA26" s="3453">
        <f t="shared" si="15"/>
        <v>1</v>
      </c>
      <c r="AB26" s="3453">
        <f t="shared" si="16"/>
        <v>1</v>
      </c>
      <c r="AC26" s="34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9"/>
      <c r="Q27" s="3449">
        <f t="shared" si="11"/>
        <v>111</v>
      </c>
      <c r="R27" s="701" t="s">
        <v>14</v>
      </c>
      <c r="S27" s="702">
        <f t="shared" si="12"/>
        <v>100</v>
      </c>
      <c r="T27" s="701" t="s">
        <v>14</v>
      </c>
      <c r="U27" s="702">
        <f t="shared" si="13"/>
        <v>100</v>
      </c>
      <c r="V27" s="701" t="s">
        <v>14</v>
      </c>
      <c r="W27" s="702">
        <f t="shared" si="14"/>
        <v>100</v>
      </c>
      <c r="X27" s="703"/>
      <c r="Y27" s="3672"/>
      <c r="Z27" s="3448">
        <f>Q27</f>
        <v>111</v>
      </c>
      <c r="AA27" s="3453">
        <f t="shared" si="15"/>
        <v>1</v>
      </c>
      <c r="AB27" s="3453">
        <f t="shared" si="16"/>
        <v>1</v>
      </c>
      <c r="AC27" s="34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9"/>
      <c r="Q28" s="3452">
        <f t="shared" si="11"/>
        <v>111</v>
      </c>
      <c r="R28" s="705" t="s">
        <v>14</v>
      </c>
      <c r="S28" s="706">
        <f t="shared" si="12"/>
        <v>100</v>
      </c>
      <c r="T28" s="705" t="s">
        <v>14</v>
      </c>
      <c r="U28" s="706">
        <f t="shared" si="13"/>
        <v>100</v>
      </c>
      <c r="V28" s="705" t="s">
        <v>14</v>
      </c>
      <c r="W28" s="706">
        <f t="shared" si="14"/>
        <v>100</v>
      </c>
      <c r="X28" s="3450"/>
      <c r="Y28" s="3672"/>
      <c r="Z28" s="3451">
        <f t="shared" ref="Z28:Z46" si="18">Q28</f>
        <v>111</v>
      </c>
      <c r="AA28" s="3453">
        <f t="shared" si="15"/>
        <v>1</v>
      </c>
      <c r="AB28" s="3453">
        <f t="shared" si="16"/>
        <v>1</v>
      </c>
      <c r="AC28" s="34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9"/>
      <c r="Q29" s="3452">
        <f t="shared" si="11"/>
        <v>111</v>
      </c>
      <c r="R29" s="705" t="s">
        <v>14</v>
      </c>
      <c r="S29" s="706">
        <f t="shared" si="12"/>
        <v>100</v>
      </c>
      <c r="T29" s="705" t="s">
        <v>14</v>
      </c>
      <c r="U29" s="706">
        <f t="shared" si="13"/>
        <v>100</v>
      </c>
      <c r="V29" s="705" t="s">
        <v>14</v>
      </c>
      <c r="W29" s="706">
        <f t="shared" si="14"/>
        <v>100</v>
      </c>
      <c r="X29" s="3450"/>
      <c r="Y29" s="3672"/>
      <c r="Z29" s="3451">
        <f t="shared" si="18"/>
        <v>111</v>
      </c>
      <c r="AA29" s="3453">
        <f t="shared" si="15"/>
        <v>1</v>
      </c>
      <c r="AB29" s="3453">
        <f t="shared" si="16"/>
        <v>1</v>
      </c>
      <c r="AC29" s="34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9"/>
      <c r="Q30" s="3452">
        <f t="shared" si="11"/>
        <v>111</v>
      </c>
      <c r="R30" s="705" t="s">
        <v>14</v>
      </c>
      <c r="S30" s="706">
        <f t="shared" si="12"/>
        <v>100</v>
      </c>
      <c r="T30" s="705" t="s">
        <v>14</v>
      </c>
      <c r="U30" s="706">
        <f t="shared" si="13"/>
        <v>100</v>
      </c>
      <c r="V30" s="705" t="s">
        <v>14</v>
      </c>
      <c r="W30" s="706">
        <f t="shared" si="14"/>
        <v>100</v>
      </c>
      <c r="X30" s="3450"/>
      <c r="Y30" s="3672"/>
      <c r="Z30" s="3451">
        <f t="shared" si="18"/>
        <v>111</v>
      </c>
      <c r="AA30" s="3453">
        <f t="shared" si="15"/>
        <v>1</v>
      </c>
      <c r="AB30" s="3453">
        <f t="shared" si="16"/>
        <v>1</v>
      </c>
      <c r="AC30" s="34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9"/>
      <c r="Q31" s="3452">
        <f t="shared" si="11"/>
        <v>111</v>
      </c>
      <c r="R31" s="705" t="s">
        <v>14</v>
      </c>
      <c r="S31" s="706">
        <f t="shared" si="12"/>
        <v>100</v>
      </c>
      <c r="T31" s="705" t="s">
        <v>14</v>
      </c>
      <c r="U31" s="706">
        <f t="shared" si="13"/>
        <v>100</v>
      </c>
      <c r="V31" s="705" t="s">
        <v>14</v>
      </c>
      <c r="W31" s="706">
        <f t="shared" si="14"/>
        <v>100</v>
      </c>
      <c r="X31" s="3450"/>
      <c r="Y31" s="3672"/>
      <c r="Z31" s="3451">
        <f t="shared" si="18"/>
        <v>111</v>
      </c>
      <c r="AA31" s="3453">
        <f t="shared" si="15"/>
        <v>1</v>
      </c>
      <c r="AB31" s="3453">
        <f t="shared" si="16"/>
        <v>1</v>
      </c>
      <c r="AC31" s="3453">
        <f t="shared" si="17"/>
        <v>1</v>
      </c>
    </row>
    <row r="32" spans="1:29" ht="15">
      <c r="A32" s="391" t="s">
        <v>1694</v>
      </c>
      <c r="B32" s="63" t="s">
        <v>1695</v>
      </c>
      <c r="C32" s="1910" t="s">
        <v>3468</v>
      </c>
      <c r="D32" s="418">
        <v>100</v>
      </c>
      <c r="E32" s="1911" t="s">
        <v>3470</v>
      </c>
      <c r="F32" s="412">
        <f>SUMIF(100:100,E32,101:101)-SUMIF(100:100,C32,101:101)+100</f>
        <v>103</v>
      </c>
      <c r="G32" s="1910" t="s">
        <v>3473</v>
      </c>
      <c r="H32" s="418">
        <f>SUMIF(100:100,G32,101:101)-SUMIF(100:100,C32,101:101)+100</f>
        <v>102</v>
      </c>
      <c r="I32" s="1911" t="s">
        <v>3470</v>
      </c>
      <c r="J32" s="386">
        <f>SUMIF(100:100,I32,101:101)-SUMIF(100:100,C32,101:101)+100</f>
        <v>103</v>
      </c>
      <c r="K32" s="377">
        <v>1</v>
      </c>
      <c r="L32" s="2720"/>
      <c r="M32" s="2714"/>
      <c r="N32" s="2714"/>
      <c r="O32" s="2714"/>
      <c r="P32" s="3673" t="s">
        <v>1696</v>
      </c>
      <c r="Q32" s="3452" t="str">
        <f t="shared" si="11"/>
        <v>建筑类型</v>
      </c>
      <c r="R32" s="705" t="s">
        <v>14</v>
      </c>
      <c r="S32" s="706">
        <f t="shared" si="12"/>
        <v>103</v>
      </c>
      <c r="T32" s="705" t="s">
        <v>14</v>
      </c>
      <c r="U32" s="706">
        <f t="shared" si="13"/>
        <v>102</v>
      </c>
      <c r="V32" s="705" t="s">
        <v>14</v>
      </c>
      <c r="W32" s="706">
        <f t="shared" si="14"/>
        <v>103</v>
      </c>
      <c r="X32" s="3450"/>
      <c r="Y32" s="3676" t="s">
        <v>1696</v>
      </c>
      <c r="Z32" s="3451" t="str">
        <f t="shared" si="18"/>
        <v>建筑类型</v>
      </c>
      <c r="AA32" s="3453">
        <f t="shared" si="15"/>
        <v>0.970873786407767</v>
      </c>
      <c r="AB32" s="3453">
        <f t="shared" si="16"/>
        <v>0.98039215686274506</v>
      </c>
      <c r="AC32" s="3453">
        <f t="shared" si="17"/>
        <v>0.970873786407767</v>
      </c>
    </row>
    <row r="33" spans="1:29" s="422" customFormat="1" ht="15" hidden="1">
      <c r="A33" s="419"/>
      <c r="B33" s="375" t="s">
        <v>1697</v>
      </c>
      <c r="C33" s="420">
        <v>60</v>
      </c>
      <c r="D33" s="127">
        <v>100</v>
      </c>
      <c r="E33" s="381">
        <v>60</v>
      </c>
      <c r="F33" s="376">
        <f>LOOKUP(E33,103:103,104:104)-LOOKUP(C33,103:103,104:104)+100</f>
        <v>100</v>
      </c>
      <c r="G33" s="380">
        <v>60</v>
      </c>
      <c r="H33" s="127">
        <f>LOOKUP(G33,103:103,104:104)-LOOKUP(C33,103:103,104:104)+100</f>
        <v>100</v>
      </c>
      <c r="I33" s="381">
        <v>60</v>
      </c>
      <c r="J33" s="127">
        <f>LOOKUP(I33,103:103,104:104)-LOOKUP(C33,103:103,104:104)+100</f>
        <v>100</v>
      </c>
      <c r="K33" s="1894"/>
      <c r="L33" s="2719"/>
      <c r="M33" s="2721"/>
      <c r="N33" s="2721"/>
      <c r="O33" s="2721"/>
      <c r="P33" s="3674"/>
      <c r="Q33" s="707" t="str">
        <f t="shared" si="11"/>
        <v>项目建筑规模</v>
      </c>
      <c r="R33" s="708" t="s">
        <v>14</v>
      </c>
      <c r="S33" s="709">
        <f t="shared" si="12"/>
        <v>100</v>
      </c>
      <c r="T33" s="708" t="s">
        <v>14</v>
      </c>
      <c r="U33" s="709">
        <f t="shared" si="13"/>
        <v>100</v>
      </c>
      <c r="V33" s="708" t="s">
        <v>14</v>
      </c>
      <c r="W33" s="709">
        <f t="shared" si="14"/>
        <v>100</v>
      </c>
      <c r="X33" s="710"/>
      <c r="Y33" s="3676"/>
      <c r="Z33" s="711" t="str">
        <f t="shared" si="18"/>
        <v>项目建筑规模</v>
      </c>
      <c r="AA33" s="3453">
        <f t="shared" si="15"/>
        <v>1</v>
      </c>
      <c r="AB33" s="3453">
        <f t="shared" si="16"/>
        <v>1</v>
      </c>
      <c r="AC33" s="3453">
        <f t="shared" si="17"/>
        <v>1</v>
      </c>
    </row>
    <row r="34" spans="1:29" ht="15">
      <c r="A34" s="423"/>
      <c r="B34" s="375" t="s">
        <v>1698</v>
      </c>
      <c r="C34" s="1912" t="s">
        <v>3455</v>
      </c>
      <c r="D34" s="386">
        <v>100</v>
      </c>
      <c r="E34" s="1913" t="s">
        <v>3455</v>
      </c>
      <c r="F34" s="412">
        <f>SUMIF(105:105,E34,106:106)-SUMIF(105:105,C34,106:106)+100</f>
        <v>100</v>
      </c>
      <c r="G34" s="1912" t="s">
        <v>3475</v>
      </c>
      <c r="H34" s="386">
        <f>SUMIF(105:105,G34,106:106)-SUMIF(105:105,C34,106:106)+100</f>
        <v>102</v>
      </c>
      <c r="I34" s="1913" t="s">
        <v>3455</v>
      </c>
      <c r="J34" s="386">
        <f>SUMIF(105:105,I34,106:106)-SUMIF(105:105,C34,106:106)+100</f>
        <v>100</v>
      </c>
      <c r="K34" s="377">
        <v>2</v>
      </c>
      <c r="L34" s="2720"/>
      <c r="M34" s="2714"/>
      <c r="N34" s="2714"/>
      <c r="O34" s="2714"/>
      <c r="P34" s="3674"/>
      <c r="Q34" s="3452" t="str">
        <f t="shared" si="11"/>
        <v>建筑结构</v>
      </c>
      <c r="R34" s="705" t="s">
        <v>14</v>
      </c>
      <c r="S34" s="706">
        <f t="shared" si="12"/>
        <v>100</v>
      </c>
      <c r="T34" s="705" t="s">
        <v>14</v>
      </c>
      <c r="U34" s="706">
        <f t="shared" si="13"/>
        <v>102</v>
      </c>
      <c r="V34" s="705" t="s">
        <v>14</v>
      </c>
      <c r="W34" s="706">
        <f t="shared" si="14"/>
        <v>100</v>
      </c>
      <c r="X34" s="3450"/>
      <c r="Y34" s="3676"/>
      <c r="Z34" s="3451" t="str">
        <f t="shared" si="18"/>
        <v>建筑结构</v>
      </c>
      <c r="AA34" s="3453">
        <f t="shared" si="15"/>
        <v>1</v>
      </c>
      <c r="AB34" s="3453">
        <f t="shared" si="16"/>
        <v>0.98039215686274506</v>
      </c>
      <c r="AC34" s="34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4"/>
      <c r="Q35" s="3452" t="str">
        <f t="shared" si="11"/>
        <v>建筑品质</v>
      </c>
      <c r="R35" s="705" t="s">
        <v>14</v>
      </c>
      <c r="S35" s="706">
        <f t="shared" si="12"/>
        <v>100</v>
      </c>
      <c r="T35" s="705" t="s">
        <v>14</v>
      </c>
      <c r="U35" s="706">
        <f t="shared" si="13"/>
        <v>100</v>
      </c>
      <c r="V35" s="705" t="s">
        <v>14</v>
      </c>
      <c r="W35" s="706">
        <f t="shared" si="14"/>
        <v>100</v>
      </c>
      <c r="X35" s="3450"/>
      <c r="Y35" s="3676"/>
      <c r="Z35" s="3451" t="str">
        <f t="shared" si="18"/>
        <v>建筑品质</v>
      </c>
      <c r="AA35" s="3453">
        <f t="shared" si="15"/>
        <v>1</v>
      </c>
      <c r="AB35" s="3453">
        <f t="shared" si="16"/>
        <v>1</v>
      </c>
      <c r="AC35" s="3453">
        <f t="shared" si="17"/>
        <v>1</v>
      </c>
    </row>
    <row r="36" spans="1:29" ht="15">
      <c r="A36" s="423"/>
      <c r="B36" s="375" t="s">
        <v>1700</v>
      </c>
      <c r="C36" s="1906" t="s">
        <v>3457</v>
      </c>
      <c r="D36" s="386">
        <v>100</v>
      </c>
      <c r="E36" s="1907" t="s">
        <v>3457</v>
      </c>
      <c r="F36" s="412">
        <f>SUMIF(109:109,E36,110:110)-SUMIF(109:109,C36,110:110)+100</f>
        <v>100</v>
      </c>
      <c r="G36" s="1906" t="s">
        <v>3457</v>
      </c>
      <c r="H36" s="386">
        <f>SUMIF(109:109,G36,110:110)-SUMIF(109:109,C36,110:110)+100</f>
        <v>100</v>
      </c>
      <c r="I36" s="1907" t="s">
        <v>3457</v>
      </c>
      <c r="J36" s="386">
        <f>SUMIF(109:109,I36,110:110)-SUMIF(109:109,C36,110:110)+100</f>
        <v>100</v>
      </c>
      <c r="K36" s="377"/>
      <c r="L36" s="2720"/>
      <c r="M36" s="2714"/>
      <c r="N36" s="2714"/>
      <c r="O36" s="2714"/>
      <c r="P36" s="3674"/>
      <c r="Q36" s="3452" t="str">
        <f t="shared" si="11"/>
        <v>公共部分装修</v>
      </c>
      <c r="R36" s="705" t="s">
        <v>14</v>
      </c>
      <c r="S36" s="706">
        <f t="shared" si="12"/>
        <v>100</v>
      </c>
      <c r="T36" s="705" t="s">
        <v>14</v>
      </c>
      <c r="U36" s="706">
        <f t="shared" si="13"/>
        <v>100</v>
      </c>
      <c r="V36" s="705" t="s">
        <v>14</v>
      </c>
      <c r="W36" s="706">
        <f t="shared" si="14"/>
        <v>100</v>
      </c>
      <c r="X36" s="3450"/>
      <c r="Y36" s="3676"/>
      <c r="Z36" s="3451" t="str">
        <f t="shared" si="18"/>
        <v>公共部分装修</v>
      </c>
      <c r="AA36" s="3453">
        <f t="shared" si="15"/>
        <v>1</v>
      </c>
      <c r="AB36" s="3453">
        <f t="shared" si="16"/>
        <v>1</v>
      </c>
      <c r="AC36" s="3453">
        <f t="shared" si="17"/>
        <v>1</v>
      </c>
    </row>
    <row r="37" spans="1:29" s="108" customFormat="1" ht="15">
      <c r="A37" s="424"/>
      <c r="B37" s="375" t="s">
        <v>1701</v>
      </c>
      <c r="C37" s="425">
        <v>0.6</v>
      </c>
      <c r="D37" s="127">
        <v>100</v>
      </c>
      <c r="E37" s="425">
        <v>0.75</v>
      </c>
      <c r="F37" s="376">
        <f>LOOKUP(E37,112:112,113:113)-LOOKUP(C37,112:112,113:113)+100</f>
        <v>106</v>
      </c>
      <c r="G37" s="427">
        <v>0.8</v>
      </c>
      <c r="H37" s="127">
        <f>LOOKUP(G37,112:112,113:113)-LOOKUP(C37,112:112,113:113)+100</f>
        <v>112</v>
      </c>
      <c r="I37" s="426">
        <v>0.8</v>
      </c>
      <c r="J37" s="127">
        <f>LOOKUP(I37,112:112,113:113)-LOOKUP(C37,112:112,113:113)+100</f>
        <v>112</v>
      </c>
      <c r="K37" s="377">
        <v>6</v>
      </c>
      <c r="L37" s="2715"/>
      <c r="M37" s="2716"/>
      <c r="N37" s="2716"/>
      <c r="O37" s="2716"/>
      <c r="P37" s="3674"/>
      <c r="Q37" s="3449" t="str">
        <f t="shared" si="11"/>
        <v>成新度</v>
      </c>
      <c r="R37" s="701" t="s">
        <v>14</v>
      </c>
      <c r="S37" s="702">
        <f t="shared" si="12"/>
        <v>106</v>
      </c>
      <c r="T37" s="701" t="s">
        <v>14</v>
      </c>
      <c r="U37" s="702">
        <f t="shared" si="13"/>
        <v>112</v>
      </c>
      <c r="V37" s="701" t="s">
        <v>14</v>
      </c>
      <c r="W37" s="702">
        <f t="shared" si="14"/>
        <v>112</v>
      </c>
      <c r="X37" s="703"/>
      <c r="Y37" s="3676"/>
      <c r="Z37" s="3448" t="str">
        <f t="shared" si="18"/>
        <v>成新度</v>
      </c>
      <c r="AA37" s="704">
        <f t="shared" si="15"/>
        <v>0.94339622641509435</v>
      </c>
      <c r="AB37" s="704">
        <f t="shared" si="16"/>
        <v>0.8928571428571429</v>
      </c>
      <c r="AC37" s="704">
        <f t="shared" si="17"/>
        <v>0.8928571428571429</v>
      </c>
    </row>
    <row r="38" spans="1:29" ht="15">
      <c r="A38" s="423"/>
      <c r="B38" s="375" t="s">
        <v>1702</v>
      </c>
      <c r="C38" s="1906" t="s">
        <v>3461</v>
      </c>
      <c r="D38" s="386">
        <v>100</v>
      </c>
      <c r="E38" s="1907" t="s">
        <v>3459</v>
      </c>
      <c r="F38" s="412">
        <f>SUMIF(114:114,E38,115:115)-SUMIF(114:114,C38,115:115)+100</f>
        <v>100</v>
      </c>
      <c r="G38" s="1906" t="s">
        <v>3459</v>
      </c>
      <c r="H38" s="386">
        <f>SUMIF(114:114,G38,115:115)-SUMIF(114:114,C38,115:115)+100</f>
        <v>100</v>
      </c>
      <c r="I38" s="1907" t="s">
        <v>3459</v>
      </c>
      <c r="J38" s="386">
        <f>SUMIF(114:114,I38,115:115)-SUMIF(114:114,C38,115:115)+100</f>
        <v>100</v>
      </c>
      <c r="K38" s="377"/>
      <c r="L38" s="2720"/>
      <c r="M38" s="2714"/>
      <c r="N38" s="2714"/>
      <c r="O38" s="2714"/>
      <c r="P38" s="3674" t="s">
        <v>1696</v>
      </c>
      <c r="Q38" s="3452" t="str">
        <f t="shared" si="11"/>
        <v>物业管理</v>
      </c>
      <c r="R38" s="705" t="s">
        <v>14</v>
      </c>
      <c r="S38" s="706">
        <f t="shared" si="12"/>
        <v>100</v>
      </c>
      <c r="T38" s="705" t="s">
        <v>14</v>
      </c>
      <c r="U38" s="706">
        <f t="shared" si="13"/>
        <v>100</v>
      </c>
      <c r="V38" s="705" t="s">
        <v>14</v>
      </c>
      <c r="W38" s="706">
        <f t="shared" si="14"/>
        <v>100</v>
      </c>
      <c r="X38" s="3450"/>
      <c r="Y38" s="3676" t="s">
        <v>1696</v>
      </c>
      <c r="Z38" s="3451" t="str">
        <f t="shared" si="18"/>
        <v>物业管理</v>
      </c>
      <c r="AA38" s="3453">
        <f t="shared" si="15"/>
        <v>1</v>
      </c>
      <c r="AB38" s="3453">
        <f t="shared" si="16"/>
        <v>1</v>
      </c>
      <c r="AC38" s="3453">
        <f t="shared" si="17"/>
        <v>1</v>
      </c>
    </row>
    <row r="39" spans="1:29" ht="15">
      <c r="A39" s="423"/>
      <c r="B39" s="375" t="s">
        <v>1703</v>
      </c>
      <c r="C39" s="1906" t="s">
        <v>3453</v>
      </c>
      <c r="D39" s="386">
        <v>100</v>
      </c>
      <c r="E39" s="1907" t="s">
        <v>3454</v>
      </c>
      <c r="F39" s="412">
        <f>SUMIF(116:116,E39,117:117)-SUMIF(116:116,C39,117:117)+100</f>
        <v>102</v>
      </c>
      <c r="G39" s="1906" t="s">
        <v>3454</v>
      </c>
      <c r="H39" s="386">
        <f>SUMIF(116:116,G39,117:117)-SUMIF(116:116,C39,117:117)+100</f>
        <v>102</v>
      </c>
      <c r="I39" s="1907" t="s">
        <v>3454</v>
      </c>
      <c r="J39" s="386">
        <f>SUMIF(116:116,I39,117:117)-SUMIF(116:116,C39,117:117)+100</f>
        <v>102</v>
      </c>
      <c r="K39" s="377">
        <v>2</v>
      </c>
      <c r="L39" s="2720"/>
      <c r="M39" s="2714"/>
      <c r="N39" s="2714"/>
      <c r="O39" s="2714"/>
      <c r="P39" s="3674"/>
      <c r="Q39" s="3452" t="str">
        <f t="shared" si="11"/>
        <v>市政基础设施</v>
      </c>
      <c r="R39" s="705" t="s">
        <v>14</v>
      </c>
      <c r="S39" s="706">
        <f t="shared" si="12"/>
        <v>102</v>
      </c>
      <c r="T39" s="705" t="s">
        <v>14</v>
      </c>
      <c r="U39" s="706">
        <f t="shared" si="13"/>
        <v>102</v>
      </c>
      <c r="V39" s="705" t="s">
        <v>14</v>
      </c>
      <c r="W39" s="706">
        <f t="shared" si="14"/>
        <v>102</v>
      </c>
      <c r="X39" s="3450"/>
      <c r="Y39" s="3676"/>
      <c r="Z39" s="3451" t="str">
        <f t="shared" si="18"/>
        <v>市政基础设施</v>
      </c>
      <c r="AA39" s="3453">
        <f t="shared" si="15"/>
        <v>0.98039215686274506</v>
      </c>
      <c r="AB39" s="3453">
        <f t="shared" si="16"/>
        <v>0.98039215686274506</v>
      </c>
      <c r="AC39" s="3453">
        <f t="shared" si="17"/>
        <v>0.98039215686274506</v>
      </c>
    </row>
    <row r="40" spans="1:29" ht="15">
      <c r="A40" s="423"/>
      <c r="B40" s="375" t="s">
        <v>1704</v>
      </c>
      <c r="C40" s="1906" t="s">
        <v>3466</v>
      </c>
      <c r="D40" s="386">
        <v>100</v>
      </c>
      <c r="E40" s="1907" t="s">
        <v>3466</v>
      </c>
      <c r="F40" s="412">
        <f>SUMIF(118:118,E40,119:119)-SUMIF(118:118,C40,119:119)+100</f>
        <v>100</v>
      </c>
      <c r="G40" s="1906" t="s">
        <v>3466</v>
      </c>
      <c r="H40" s="386">
        <f>SUMIF(118:118,G40,119:119)-SUMIF(118:118,C40,119:119)+100</f>
        <v>100</v>
      </c>
      <c r="I40" s="1907" t="s">
        <v>3466</v>
      </c>
      <c r="J40" s="386">
        <f>SUMIF(118:118,I40,119:119)-SUMIF(118:118,C40,119:119)+100</f>
        <v>100</v>
      </c>
      <c r="K40" s="377"/>
      <c r="L40" s="2720"/>
      <c r="M40" s="2714"/>
      <c r="N40" s="2714"/>
      <c r="O40" s="2714"/>
      <c r="P40" s="3674"/>
      <c r="Q40" s="3452" t="str">
        <f t="shared" si="11"/>
        <v>房型</v>
      </c>
      <c r="R40" s="705" t="s">
        <v>14</v>
      </c>
      <c r="S40" s="706">
        <f t="shared" si="12"/>
        <v>100</v>
      </c>
      <c r="T40" s="705" t="s">
        <v>14</v>
      </c>
      <c r="U40" s="706">
        <f t="shared" si="13"/>
        <v>100</v>
      </c>
      <c r="V40" s="705" t="s">
        <v>14</v>
      </c>
      <c r="W40" s="706">
        <f t="shared" si="14"/>
        <v>100</v>
      </c>
      <c r="X40" s="3450"/>
      <c r="Y40" s="3676"/>
      <c r="Z40" s="3451" t="str">
        <f t="shared" si="18"/>
        <v>房型</v>
      </c>
      <c r="AA40" s="3453">
        <f t="shared" si="15"/>
        <v>1</v>
      </c>
      <c r="AB40" s="3453">
        <f t="shared" si="16"/>
        <v>1</v>
      </c>
      <c r="AC40" s="34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4"/>
      <c r="Q41" s="707" t="str">
        <f t="shared" si="11"/>
        <v>单套/主力户型建筑面积</v>
      </c>
      <c r="R41" s="708" t="s">
        <v>14</v>
      </c>
      <c r="S41" s="709">
        <f t="shared" si="12"/>
        <v>100</v>
      </c>
      <c r="T41" s="708" t="s">
        <v>14</v>
      </c>
      <c r="U41" s="709">
        <f t="shared" si="13"/>
        <v>100</v>
      </c>
      <c r="V41" s="708" t="s">
        <v>14</v>
      </c>
      <c r="W41" s="709">
        <f t="shared" si="14"/>
        <v>100</v>
      </c>
      <c r="X41" s="710"/>
      <c r="Y41" s="3676"/>
      <c r="Z41" s="711" t="str">
        <f t="shared" si="18"/>
        <v>单套/主力户型建筑面积</v>
      </c>
      <c r="AA41" s="3453">
        <f t="shared" si="15"/>
        <v>1</v>
      </c>
      <c r="AB41" s="3453">
        <f t="shared" si="16"/>
        <v>1</v>
      </c>
      <c r="AC41" s="3453">
        <f t="shared" si="17"/>
        <v>1</v>
      </c>
    </row>
    <row r="42" spans="1:29" ht="15">
      <c r="A42" s="423"/>
      <c r="B42" s="375" t="s">
        <v>1706</v>
      </c>
      <c r="C42" s="1906" t="s">
        <v>3457</v>
      </c>
      <c r="D42" s="386">
        <v>100</v>
      </c>
      <c r="E42" s="1907" t="s">
        <v>3457</v>
      </c>
      <c r="F42" s="412">
        <f>SUMIF(122:122,E42,123:123)-SUMIF(122:122,C42,123:123)+100</f>
        <v>100</v>
      </c>
      <c r="G42" s="1906" t="s">
        <v>3457</v>
      </c>
      <c r="H42" s="386">
        <f>SUMIF(122:122,G42,123:123)-SUMIF(122:122,C42,123:123)+100</f>
        <v>100</v>
      </c>
      <c r="I42" s="1907" t="s">
        <v>3457</v>
      </c>
      <c r="J42" s="386">
        <f>SUMIF(122:122,I42,123:123)-SUMIF(122:122,C42,123:123)+100</f>
        <v>100</v>
      </c>
      <c r="K42" s="377"/>
      <c r="L42" s="2720"/>
      <c r="M42" s="2714"/>
      <c r="N42" s="2714"/>
      <c r="O42" s="2714"/>
      <c r="P42" s="3674"/>
      <c r="Q42" s="3452" t="str">
        <f t="shared" si="11"/>
        <v>内部装修</v>
      </c>
      <c r="R42" s="705" t="s">
        <v>14</v>
      </c>
      <c r="S42" s="706">
        <f t="shared" si="12"/>
        <v>100</v>
      </c>
      <c r="T42" s="705" t="s">
        <v>14</v>
      </c>
      <c r="U42" s="706">
        <f t="shared" si="13"/>
        <v>100</v>
      </c>
      <c r="V42" s="705" t="s">
        <v>14</v>
      </c>
      <c r="W42" s="706">
        <f t="shared" si="14"/>
        <v>100</v>
      </c>
      <c r="X42" s="3450"/>
      <c r="Y42" s="3676"/>
      <c r="Z42" s="3451" t="str">
        <f t="shared" si="18"/>
        <v>内部装修</v>
      </c>
      <c r="AA42" s="3453">
        <f t="shared" si="15"/>
        <v>1</v>
      </c>
      <c r="AB42" s="3453">
        <f t="shared" si="16"/>
        <v>1</v>
      </c>
      <c r="AC42" s="34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4"/>
      <c r="Q43" s="3452" t="str">
        <f t="shared" si="11"/>
        <v>内部装修维护情况</v>
      </c>
      <c r="R43" s="705" t="s">
        <v>14</v>
      </c>
      <c r="S43" s="706">
        <f t="shared" si="12"/>
        <v>100</v>
      </c>
      <c r="T43" s="705" t="s">
        <v>14</v>
      </c>
      <c r="U43" s="706">
        <f t="shared" si="13"/>
        <v>100</v>
      </c>
      <c r="V43" s="705" t="s">
        <v>14</v>
      </c>
      <c r="W43" s="706">
        <f t="shared" si="14"/>
        <v>100</v>
      </c>
      <c r="X43" s="3450"/>
      <c r="Y43" s="3676"/>
      <c r="Z43" s="3451" t="str">
        <f t="shared" si="18"/>
        <v>内部装修维护情况</v>
      </c>
      <c r="AA43" s="3453">
        <f t="shared" si="15"/>
        <v>1</v>
      </c>
      <c r="AB43" s="3453">
        <f t="shared" si="16"/>
        <v>1</v>
      </c>
      <c r="AC43" s="3453">
        <f t="shared" si="17"/>
        <v>1</v>
      </c>
    </row>
    <row r="44" spans="1:29" s="108" customFormat="1" ht="15">
      <c r="A44" s="424"/>
      <c r="B44" s="3810" t="s">
        <v>3477</v>
      </c>
      <c r="C44" s="3811" t="s">
        <v>3478</v>
      </c>
      <c r="D44" s="127">
        <v>100</v>
      </c>
      <c r="E44" s="3811" t="s">
        <v>3479</v>
      </c>
      <c r="F44" s="376">
        <f>SUMIF(126:126,E44,127:127)-SUMIF(126:126,C44,127:127)+100</f>
        <v>103</v>
      </c>
      <c r="G44" s="3811" t="s">
        <v>3479</v>
      </c>
      <c r="H44" s="127">
        <f>SUMIF(126:126,G44,127:127)-SUMIF(126:126,C44,127:127)+100</f>
        <v>103</v>
      </c>
      <c r="I44" s="3811" t="s">
        <v>3479</v>
      </c>
      <c r="J44" s="127">
        <f>SUMIF(126:126,I44,127:127)-SUMIF(126:126,C44,127:127)+100</f>
        <v>103</v>
      </c>
      <c r="K44" s="1894"/>
      <c r="L44" s="2715"/>
      <c r="M44" s="2716"/>
      <c r="N44" s="2716"/>
      <c r="O44" s="2716"/>
      <c r="P44" s="3674"/>
      <c r="Q44" s="3449" t="str">
        <f t="shared" si="11"/>
        <v>独立卫生间</v>
      </c>
      <c r="R44" s="701" t="s">
        <v>14</v>
      </c>
      <c r="S44" s="702">
        <f t="shared" si="12"/>
        <v>103</v>
      </c>
      <c r="T44" s="701" t="s">
        <v>14</v>
      </c>
      <c r="U44" s="702">
        <f t="shared" si="13"/>
        <v>103</v>
      </c>
      <c r="V44" s="701" t="s">
        <v>14</v>
      </c>
      <c r="W44" s="702">
        <f t="shared" si="14"/>
        <v>103</v>
      </c>
      <c r="X44" s="703"/>
      <c r="Y44" s="3676"/>
      <c r="Z44" s="3448" t="str">
        <f t="shared" si="18"/>
        <v>独立卫生间</v>
      </c>
      <c r="AA44" s="704">
        <f t="shared" si="15"/>
        <v>0.970873786407767</v>
      </c>
      <c r="AB44" s="704">
        <f t="shared" si="16"/>
        <v>0.970873786407767</v>
      </c>
      <c r="AC44" s="704">
        <f t="shared" si="17"/>
        <v>0.970873786407767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4"/>
      <c r="Q45" s="3452">
        <f t="shared" si="11"/>
        <v>111</v>
      </c>
      <c r="R45" s="705" t="s">
        <v>14</v>
      </c>
      <c r="S45" s="706">
        <f t="shared" si="12"/>
        <v>100</v>
      </c>
      <c r="T45" s="705" t="s">
        <v>14</v>
      </c>
      <c r="U45" s="706">
        <f t="shared" si="13"/>
        <v>100</v>
      </c>
      <c r="V45" s="705" t="s">
        <v>14</v>
      </c>
      <c r="W45" s="706">
        <f t="shared" si="14"/>
        <v>100</v>
      </c>
      <c r="X45" s="3450"/>
      <c r="Y45" s="3676"/>
      <c r="Z45" s="3451">
        <f t="shared" si="18"/>
        <v>111</v>
      </c>
      <c r="AA45" s="3453">
        <f t="shared" si="15"/>
        <v>1</v>
      </c>
      <c r="AB45" s="3453">
        <f t="shared" si="16"/>
        <v>1</v>
      </c>
      <c r="AC45" s="34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5"/>
      <c r="Q46" s="3452">
        <f t="shared" si="11"/>
        <v>111</v>
      </c>
      <c r="R46" s="705" t="s">
        <v>14</v>
      </c>
      <c r="S46" s="706">
        <f t="shared" si="12"/>
        <v>100</v>
      </c>
      <c r="T46" s="705" t="s">
        <v>14</v>
      </c>
      <c r="U46" s="706">
        <f t="shared" si="13"/>
        <v>100</v>
      </c>
      <c r="V46" s="705" t="s">
        <v>14</v>
      </c>
      <c r="W46" s="706">
        <f t="shared" si="14"/>
        <v>100</v>
      </c>
      <c r="X46" s="3450"/>
      <c r="Y46" s="3677"/>
      <c r="Z46" s="3451">
        <f t="shared" si="18"/>
        <v>111</v>
      </c>
      <c r="AA46" s="3453">
        <f t="shared" si="15"/>
        <v>1</v>
      </c>
      <c r="AB46" s="3453">
        <f t="shared" si="16"/>
        <v>1</v>
      </c>
      <c r="AC46" s="3453">
        <f t="shared" si="17"/>
        <v>1</v>
      </c>
    </row>
    <row r="47" spans="1:29" ht="15">
      <c r="A47" s="430" t="s">
        <v>1708</v>
      </c>
      <c r="B47" s="431"/>
      <c r="C47" s="1154" t="s">
        <v>0</v>
      </c>
      <c r="D47" s="1155"/>
      <c r="E47" s="1156">
        <f>案例!B19</f>
        <v>117.6</v>
      </c>
      <c r="F47" s="1157"/>
      <c r="G47" s="1158">
        <f>案例!B54</f>
        <v>117.5</v>
      </c>
      <c r="H47" s="1159"/>
      <c r="I47" s="1156">
        <f>案例!B57</f>
        <v>120.6</v>
      </c>
      <c r="J47" s="1159"/>
      <c r="K47" s="1914"/>
      <c r="L47" s="2722"/>
      <c r="M47" s="2723"/>
      <c r="N47" s="2714"/>
      <c r="O47" s="2723"/>
      <c r="P47" s="3669" t="str">
        <f>A47</f>
        <v>成交单价（元/平方米）</v>
      </c>
      <c r="Q47" s="3669"/>
      <c r="R47" s="3670">
        <f>E47</f>
        <v>117.6</v>
      </c>
      <c r="S47" s="3670"/>
      <c r="T47" s="3670">
        <f>G47</f>
        <v>117.5</v>
      </c>
      <c r="U47" s="3670"/>
      <c r="V47" s="3670">
        <f>I47</f>
        <v>120.6</v>
      </c>
      <c r="W47" s="3670"/>
      <c r="X47" s="690"/>
      <c r="Y47" s="712"/>
      <c r="Z47" s="690"/>
      <c r="AA47" s="690"/>
      <c r="AB47" s="690"/>
      <c r="AC47" s="690"/>
    </row>
    <row r="48" spans="1:29" ht="15.75" thickBot="1">
      <c r="A48" s="437" t="s">
        <v>1709</v>
      </c>
      <c r="B48" s="438"/>
      <c r="C48" s="1160">
        <f>R49</f>
        <v>94.6</v>
      </c>
      <c r="D48" s="2317" t="s">
        <v>2138</v>
      </c>
      <c r="E48" s="1161">
        <f>R48</f>
        <v>97.6</v>
      </c>
      <c r="F48" s="2318"/>
      <c r="G48" s="1160">
        <f>T48</f>
        <v>91.4</v>
      </c>
      <c r="H48" s="2318"/>
      <c r="I48" s="1161">
        <f>V48</f>
        <v>94.8</v>
      </c>
      <c r="J48" s="2318"/>
      <c r="K48" s="2319">
        <f>F48+H48+J48</f>
        <v>0</v>
      </c>
      <c r="L48" s="2722"/>
      <c r="M48" s="2723"/>
      <c r="N48" s="2723"/>
      <c r="O48" s="2723"/>
      <c r="P48" s="3669" t="str">
        <f>A48</f>
        <v>比较价值（元/平方米）</v>
      </c>
      <c r="Q48" s="3669"/>
      <c r="R48" s="3670">
        <f>IF(F1="售价",ROUND(PRODUCT(R47,AA7:AA46),0),ROUND(PRODUCT(R47,AA7:AA46),1))</f>
        <v>97.6</v>
      </c>
      <c r="S48" s="3670"/>
      <c r="T48" s="3670">
        <f>IF(F1="售价",ROUND(PRODUCT(T47,AB7:AB46),0),ROUND(PRODUCT(T47,AB7:AB46),1))</f>
        <v>91.4</v>
      </c>
      <c r="U48" s="3670"/>
      <c r="V48" s="3670">
        <f>IF(F1="售价",ROUND(PRODUCT(V47,AC7:AC46),0),ROUND(PRODUCT(V47,AC7:AC46),1))</f>
        <v>94.8</v>
      </c>
      <c r="W48" s="3670"/>
      <c r="X48" s="690"/>
      <c r="Y48" s="690"/>
      <c r="Z48" s="690"/>
      <c r="AA48" s="690"/>
      <c r="AB48" s="690"/>
      <c r="AC48" s="690"/>
    </row>
    <row r="49" spans="1:29" ht="15.75" thickBot="1">
      <c r="A49" s="441" t="s">
        <v>1710</v>
      </c>
      <c r="B49" s="442"/>
      <c r="C49" s="1162">
        <f>R49</f>
        <v>94.6</v>
      </c>
      <c r="D49" s="1163"/>
      <c r="E49" s="1163"/>
      <c r="F49" s="1163"/>
      <c r="G49" s="1163"/>
      <c r="H49" s="1163"/>
      <c r="I49" s="1163"/>
      <c r="J49" s="1163"/>
      <c r="K49" s="1915"/>
      <c r="L49" s="2722"/>
      <c r="M49" s="2723"/>
      <c r="N49" s="2723"/>
      <c r="O49" s="2723"/>
      <c r="P49" s="3666" t="str">
        <f>A49</f>
        <v>估价对象XX用房的比较价值（楼面单价，元/平方米）</v>
      </c>
      <c r="Q49" s="3667"/>
      <c r="R49" s="3668">
        <f>IF(F1="售价",ROUND(IF(D48="简单平均",AVERAGE(R48:V48),R48*F48+T48*H48+V48*J48),0),ROUND(IF(D48="简单平均",AVERAGE(R48:V48),R48*F48+T48*H48+V48*J48),1))</f>
        <v>94.6</v>
      </c>
      <c r="S49" s="3668"/>
      <c r="T49" s="3668"/>
      <c r="U49" s="3668"/>
      <c r="V49" s="3668"/>
      <c r="W49" s="3668"/>
      <c r="X49" s="690"/>
      <c r="Y49" s="690"/>
      <c r="Z49" s="690"/>
      <c r="AA49" s="690"/>
      <c r="AB49" s="690"/>
      <c r="AC49" s="690"/>
    </row>
    <row r="50" spans="1:29">
      <c r="A50" s="2723"/>
      <c r="B50" s="2723"/>
      <c r="C50" s="2723">
        <f>C49*0.9</f>
        <v>85.14</v>
      </c>
      <c r="D50" s="2723">
        <f>C49*1.1</f>
        <v>104.06</v>
      </c>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0.20491803278688536</v>
      </c>
      <c r="F52" s="449" t="str">
        <f>IF(OR(E52&gt;=0.3,E52&lt;=-0.3),"超过30%","")</f>
        <v/>
      </c>
      <c r="G52" s="448">
        <f>IF(G47&lt;G48,G48/G47-1,G47/G48-1)</f>
        <v>0.28555798687089706</v>
      </c>
      <c r="H52" s="449" t="str">
        <f>IF(OR(G52&gt;=0.3,G52&lt;=-0.3),"超过30%","")</f>
        <v/>
      </c>
      <c r="I52" s="448">
        <f>IF(I47&lt;I48,I48/I47-1,I47/I48-1)</f>
        <v>0.27215189873417711</v>
      </c>
      <c r="J52" s="449" t="str">
        <f>IF(OR(I52&gt;=0.3,I52&lt;=-0.3),"超过30%","")</f>
        <v/>
      </c>
      <c r="K52" s="2728"/>
      <c r="L52" s="2724"/>
      <c r="M52" s="2723"/>
      <c r="N52" s="2723"/>
      <c r="O52" s="2723"/>
    </row>
    <row r="53" spans="1:29" ht="13.5" customHeight="1">
      <c r="A53" s="2723"/>
      <c r="B53" s="2723"/>
      <c r="C53" s="446" t="s">
        <v>1712</v>
      </c>
      <c r="D53" s="450"/>
      <c r="E53" s="448">
        <f>IF(E48&lt;G48,G48/E48-1,E48/G48-1)</f>
        <v>6.7833698030634437E-2</v>
      </c>
      <c r="F53" s="449" t="str">
        <f>IF(OR(E53&gt;=0.2,E53&lt;=-0.2),"超过20%","")</f>
        <v/>
      </c>
      <c r="G53" s="448">
        <f>IF(G48&lt;I48,I48/G48-1,G48/I48-1)</f>
        <v>3.7199124726476906E-2</v>
      </c>
      <c r="H53" s="449" t="str">
        <f>IF(OR(G53&gt;=0.2,G53&lt;=-0.2),"超过20%","")</f>
        <v/>
      </c>
      <c r="I53" s="448">
        <f>IF(I48&lt;E48,E48/I48-1,I48/E48-1)</f>
        <v>2.9535864978902815E-2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8.5106382978716866E-4</v>
      </c>
      <c r="F54" s="449" t="str">
        <f>IF(OR(E54&gt;=0.3,E54&lt;=-0.3),"超过30%","")</f>
        <v/>
      </c>
      <c r="G54" s="448">
        <f>IF(G47&lt;I47,I47/G47-1,G47/I47-1)</f>
        <v>2.6382978723404227E-2</v>
      </c>
      <c r="H54" s="449" t="str">
        <f>IF(OR(G54&gt;=0.3,G54&lt;=-0.3),"超过30%","")</f>
        <v/>
      </c>
      <c r="I54" s="448">
        <f>IF(I47&lt;E47,E47/I47-1,I47/E47-1)</f>
        <v>2.5510204081632626E-2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1679</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1681</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807" t="s">
        <v>3471</v>
      </c>
      <c r="D100" s="3807" t="s">
        <v>3474</v>
      </c>
      <c r="E100" s="3807" t="s">
        <v>3472</v>
      </c>
      <c r="F100" s="3807" t="s">
        <v>3469</v>
      </c>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3808" t="s">
        <v>3476</v>
      </c>
      <c r="D105" s="3808" t="s">
        <v>3456</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808" t="s">
        <v>3458</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106</v>
      </c>
      <c r="E113" s="493">
        <f>D113+$K37</f>
        <v>112</v>
      </c>
      <c r="F113" s="493">
        <f>E113+$K37</f>
        <v>118</v>
      </c>
      <c r="G113" s="493">
        <f>F113+$K37</f>
        <v>124</v>
      </c>
      <c r="H113" s="493">
        <f>G113+$K37</f>
        <v>130</v>
      </c>
      <c r="I113" s="531"/>
      <c r="J113" s="556"/>
      <c r="K113" s="556"/>
      <c r="L113" s="556"/>
      <c r="M113" s="557"/>
      <c r="N113" s="935"/>
      <c r="O113" s="935"/>
      <c r="P113" s="1923"/>
      <c r="Q113" s="508"/>
    </row>
    <row r="114" spans="1:17" ht="15" thickTop="1">
      <c r="A114" s="548"/>
      <c r="B114" s="487" t="s">
        <v>1741</v>
      </c>
      <c r="C114" s="3808" t="s">
        <v>3460</v>
      </c>
      <c r="D114" s="3808" t="s">
        <v>3462</v>
      </c>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808" t="s">
        <v>3463</v>
      </c>
      <c r="D116" s="3808" t="s">
        <v>3464</v>
      </c>
      <c r="E116" s="3808" t="s">
        <v>3465</v>
      </c>
      <c r="F116" s="503"/>
      <c r="G116" s="503"/>
      <c r="H116" s="532"/>
      <c r="I116" s="532"/>
      <c r="J116" s="532"/>
      <c r="K116" s="533"/>
      <c r="L116" s="534"/>
      <c r="M116" s="535"/>
      <c r="N116" s="933"/>
      <c r="O116" s="933"/>
      <c r="P116" s="1922"/>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22"/>
      <c r="Q117" s="453"/>
    </row>
    <row r="118" spans="1:17" ht="15" thickTop="1">
      <c r="A118" s="548"/>
      <c r="B118" s="487" t="s">
        <v>1743</v>
      </c>
      <c r="C118" s="3809" t="s">
        <v>3467</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808" t="s">
        <v>3458</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808" t="s">
        <v>3479</v>
      </c>
      <c r="D126" s="3808" t="s">
        <v>3478</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97</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1" xr:uid="{EDFE87CF-297B-4152-8A12-62BB3DFBBCFE}">
      <formula1>"项目模式,单套模式"</formula1>
    </dataValidation>
    <dataValidation type="list" allowBlank="1" showInputMessage="1" showErrorMessage="1" sqref="D48" xr:uid="{E1D4AC4C-5376-4B5E-9454-2C1E5A32F4BE}">
      <formula1>"简单平均,加权平均"</formula1>
    </dataValidation>
    <dataValidation type="list" allowBlank="1" showInputMessage="1" showErrorMessage="1" sqref="F2" xr:uid="{EF79D31E-C623-46F4-9503-85B38B9AAECE}">
      <formula1>估价方法</formula1>
    </dataValidation>
    <dataValidation type="list" allowBlank="1" showInputMessage="1" showErrorMessage="1" sqref="C2" xr:uid="{5E51C6A6-7D93-4AD1-985E-DB922476B82D}">
      <formula1>"需扣减承租人权益,——"</formula1>
    </dataValidation>
    <dataValidation type="list" allowBlank="1" showInputMessage="1" showErrorMessage="1" sqref="F1" xr:uid="{F3933E10-CAF8-432C-ACFE-0DDB882A55B2}">
      <formula1>"售价,租金"</formula1>
    </dataValidation>
    <dataValidation type="list" allowBlank="1" showInputMessage="1" showErrorMessage="1" sqref="C22 E22 G22 I22" xr:uid="{F30D836C-D420-45D2-845E-52CBDB6D0A0E}">
      <formula1>基础设施水平</formula1>
    </dataValidation>
    <dataValidation type="list" allowBlank="1" showInputMessage="1" showErrorMessage="1" sqref="E9 G9 I9" xr:uid="{95AD75B7-25C8-4E51-BCD8-B13A8C0D7015}">
      <formula1>住宅用途</formula1>
    </dataValidation>
    <dataValidation type="list" allowBlank="1" showInputMessage="1" showErrorMessage="1" sqref="D1" xr:uid="{F72D2A09-3EB1-4867-81EB-02463ACB9C51}">
      <formula1>项目类型</formula1>
    </dataValidation>
    <dataValidation type="list" allowBlank="1" showInputMessage="1" showErrorMessage="1" sqref="E8 G8 I8 C8" xr:uid="{A38825AB-847D-484E-9F73-FDA9A8C2C4DE}">
      <formula1>住宅交易情况</formula1>
    </dataValidation>
    <dataValidation type="list" allowBlank="1" showInputMessage="1" showErrorMessage="1" sqref="E43 G43 I43 C43" xr:uid="{A7E06004-2C65-40AC-865E-1228157AF261}">
      <formula1>内部装修维护情况</formula1>
    </dataValidation>
    <dataValidation type="list" allowBlank="1" showInputMessage="1" showErrorMessage="1" sqref="E42 G42 I42 C42" xr:uid="{2E12F6F0-2A7F-49B3-A545-5BF9937F64A2}">
      <formula1>住宅内部装修</formula1>
    </dataValidation>
    <dataValidation type="list" allowBlank="1" showInputMessage="1" showErrorMessage="1" sqref="E40 G40 I40 C40" xr:uid="{B1AA4443-C69F-42DB-A252-C50FDCD929FA}">
      <formula1>住宅房型</formula1>
    </dataValidation>
    <dataValidation type="list" allowBlank="1" showInputMessage="1" showErrorMessage="1" sqref="E39 G39 I39 C39" xr:uid="{1B780735-B84C-43BF-92A8-90D4BA2DDBF0}">
      <formula1>住宅基础设施水平</formula1>
    </dataValidation>
    <dataValidation type="list" allowBlank="1" showInputMessage="1" showErrorMessage="1" sqref="E38 G38 I38 C38" xr:uid="{F54B0073-07BF-4048-A1B8-E68EDE13C151}">
      <formula1>住宅物业管理</formula1>
    </dataValidation>
    <dataValidation type="list" allowBlank="1" showInputMessage="1" showErrorMessage="1" sqref="E36 G36 I36 C36" xr:uid="{4475AF88-6D4A-4C12-B6B1-47EAD3F388FB}">
      <formula1>住宅公共部分装修</formula1>
    </dataValidation>
    <dataValidation type="list" allowBlank="1" showInputMessage="1" showErrorMessage="1" sqref="E35 G35 I35 C35" xr:uid="{89C3D191-C9CA-4C99-A28D-F052BE7956A9}">
      <formula1>住宅建筑品质</formula1>
    </dataValidation>
    <dataValidation type="list" allowBlank="1" showInputMessage="1" showErrorMessage="1" sqref="E34 G34 I34 C34" xr:uid="{DD4E883F-F501-4A17-BAC8-7F7227EFD68C}">
      <formula1>住宅建筑结构</formula1>
    </dataValidation>
    <dataValidation type="list" allowBlank="1" showInputMessage="1" showErrorMessage="1" sqref="E32 G32 I32 C32" xr:uid="{12624D49-A7E8-43D0-8F6A-D2FBDA7DC7E0}">
      <formula1>住宅建筑类型</formula1>
    </dataValidation>
    <dataValidation type="list" allowBlank="1" showInputMessage="1" showErrorMessage="1" sqref="E26 G26 I26 C26" xr:uid="{3A97C872-BC4C-406A-A886-FAC95CECB028}">
      <formula1>住宅朝向</formula1>
    </dataValidation>
    <dataValidation type="list" allowBlank="1" showInputMessage="1" showErrorMessage="1" sqref="E25 G25 I25 C25" xr:uid="{58C0B7B3-C91C-4EAA-B815-F22E777E6ECE}">
      <formula1>住宅楼层</formula1>
    </dataValidation>
    <dataValidation type="list" allowBlank="1" showInputMessage="1" showErrorMessage="1" sqref="C20 G20 E20 I20" xr:uid="{F0824DB0-9172-49C2-814F-B38A47C51E16}">
      <formula1>公共配套设施</formula1>
    </dataValidation>
    <dataValidation type="list" allowBlank="1" showInputMessage="1" showErrorMessage="1" sqref="E18 G18 I18 C18" xr:uid="{C9FB0B6D-EFB4-4B4B-A27A-D28048C5BA60}">
      <formula1>交通便捷度</formula1>
    </dataValidation>
    <dataValidation type="list" allowBlank="1" showInputMessage="1" showErrorMessage="1" sqref="E16 G16 I16 C16" xr:uid="{18244DFE-BB44-40DD-A9A0-3652C2A79ACE}">
      <formula1>居住社区成熟度</formula1>
    </dataValidation>
    <dataValidation type="list" allowBlank="1" showInputMessage="1" showErrorMessage="1" sqref="E24 G24 I24 C24" xr:uid="{295771D2-B88D-4FBB-B61B-BBB975EF745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X23" sqref="X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48"/>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3247</v>
      </c>
      <c r="G14" s="3310" t="s">
        <v>3247</v>
      </c>
      <c r="H14" s="3310" t="s">
        <v>3247</v>
      </c>
      <c r="I14" s="3310" t="s">
        <v>3247</v>
      </c>
      <c r="J14" s="3310" t="s">
        <v>3247</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3" t="s">
        <v>3258</v>
      </c>
      <c r="B20" s="167" t="s">
        <v>1994</v>
      </c>
      <c r="C20" s="3323" t="e">
        <f>ROUND(IF(F21="与级别开发程度一致",0,(G21-E21)/C21),0)</f>
        <v>#DIV/0!</v>
      </c>
      <c r="D20" s="3339" t="s">
        <v>1998</v>
      </c>
      <c r="E20" s="3340"/>
      <c r="F20" s="3759" t="s">
        <v>1995</v>
      </c>
      <c r="G20" s="376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45076</v>
      </c>
      <c r="H23" s="3341" t="s">
        <v>3260</v>
      </c>
      <c r="I23" s="3342" t="str">
        <f>IF(H23="季度增幅（自定义）",SUMIF(N25:N28,E2,O25:O28),"")</f>
        <v/>
      </c>
      <c r="J23" s="3444" t="s">
        <v>3259</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t="e">
        <f ca="1">'数据-取费表'!B40</f>
        <v>#VALUE!</v>
      </c>
      <c r="M36" s="3356" t="e">
        <f ca="1">ROUND($L$36*(1+M31),3)</f>
        <v>#VALUE!</v>
      </c>
      <c r="N36" s="3356" t="e">
        <f ca="1">ROUND($L$36*(1+N31),3)</f>
        <v>#VALUE!</v>
      </c>
      <c r="O36" s="3356" t="e">
        <f ca="1">ROUND($L$36*(1+O31),3)</f>
        <v>#VALUE!</v>
      </c>
      <c r="P36" s="3356" t="e">
        <f ca="1">ROUND($L$36*(1+P31),3)</f>
        <v>#VALUE!</v>
      </c>
      <c r="Q36" s="3356"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3270</v>
      </c>
      <c r="L37" s="3355" t="e">
        <f ca="1">L36+K38</f>
        <v>#VALUE!</v>
      </c>
      <c r="M37" s="3356" t="e">
        <f ca="1">ROUND($L$37*(1+M31),3)</f>
        <v>#VALUE!</v>
      </c>
      <c r="N37" s="3356" t="e">
        <f t="shared" ref="N37:Q37" ca="1" si="3">ROUND($L$37*(1+N31),3)</f>
        <v>#VALUE!</v>
      </c>
      <c r="O37" s="3356" t="e">
        <f t="shared" ca="1" si="3"/>
        <v>#VALUE!</v>
      </c>
      <c r="P37" s="3356" t="e">
        <f t="shared" ca="1" si="3"/>
        <v>#VALUE!</v>
      </c>
      <c r="Q37" s="3356"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8"/>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估价对象周边有21路、40路、414路等多条公共线路，距地铁1号线、9号线换乘站（军事博物馆站）约700米，路边可停车，综合评价交通便捷度较好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城市支路——羊坊店东路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区域自然环境：西护城河、中华世纪坛公园；人文环境；军事博物馆；综合评价环境状况较好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估价对象周边有21路、40路、414路等多条公共线路，距地铁1号线、9号线换乘站（军事博物馆站）约700米，路边可停车，综合评价交通便捷度较好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城市支路——羊坊店东路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区域自然环境：西护城河、中华世纪坛公园；人文环境；军事博物馆；综合评价环境状况较好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估价对象周边有铁西宿舍、复兴路12号院、会城门小区、电信宿舍、什坊院、羊坊店西路等社区，综合评价居住社区成熟度较好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估价对象周边有21路、40路、414路等多条公共线路，距地铁1号线、9号线换乘站（军事博物馆站）约700米，路边可停车，综合评价交通便捷度较好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城市支路——羊坊店东路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区域自然环境：西护城河、中华世纪坛公园；人文环境；军事博物馆；综合评价环境状况较好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估价对象周边有21路、40路、414路等多条公共线路，距地铁1号线、9号线换乘站（军事博物馆站）约700米，路边可停车，综合评价交通便捷度较好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t="str">
        <f>估价对象房地状况!C24</f>
        <v>城市支路——羊坊店东路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区域自然环境：西护城河、中华世纪坛公园；人文环境；军事博物馆；综合评价环境状况较好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3298</v>
      </c>
      <c r="B103" s="3755"/>
      <c r="C103" s="3755"/>
      <c r="D103" s="3755"/>
      <c r="E103" s="3755"/>
      <c r="F103" s="3755"/>
      <c r="G103" s="3755"/>
      <c r="H103" s="3755"/>
      <c r="I103" s="3755"/>
      <c r="J103" s="3755"/>
      <c r="K103" s="3388"/>
      <c r="L103" s="3388"/>
      <c r="M103" s="3388"/>
      <c r="N103" s="3388"/>
    </row>
    <row r="104" spans="1:14">
      <c r="A104" s="3756" t="s">
        <v>3299</v>
      </c>
      <c r="B104" s="3756" t="s">
        <v>3300</v>
      </c>
      <c r="C104" s="3389" t="s">
        <v>3301</v>
      </c>
      <c r="D104" s="3390"/>
      <c r="E104" s="3390"/>
      <c r="F104" s="3390"/>
      <c r="G104" s="3390"/>
      <c r="H104" s="3390"/>
      <c r="I104" s="3390"/>
      <c r="J104" s="3391"/>
      <c r="K104" s="3392"/>
      <c r="L104" s="3392"/>
      <c r="M104" s="3392"/>
      <c r="N104" s="3392"/>
    </row>
    <row r="105" spans="1:14">
      <c r="A105" s="3756"/>
      <c r="B105" s="3756"/>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2"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3315</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2000" t="s">
        <v>3318</v>
      </c>
      <c r="F116" s="3400">
        <f>E2</f>
        <v>0</v>
      </c>
      <c r="G116" s="2000" t="s">
        <v>3319</v>
      </c>
      <c r="H116" s="3400">
        <f>G2</f>
        <v>0</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0" t="s">
        <v>2609</v>
      </c>
      <c r="B20" s="3765" t="s">
        <v>2630</v>
      </c>
      <c r="C20" s="3101" t="s">
        <v>2441</v>
      </c>
      <c r="D20" s="3102"/>
      <c r="E20" s="3103">
        <v>1</v>
      </c>
      <c r="F20" s="3104" t="s">
        <v>2442</v>
      </c>
      <c r="G20" s="3104"/>
    </row>
    <row r="21" spans="1:13" ht="19.5" customHeight="1">
      <c r="A21" s="3771"/>
      <c r="B21" s="3764"/>
      <c r="C21" s="3105" t="s">
        <v>2443</v>
      </c>
      <c r="D21" s="3106"/>
      <c r="E21" s="3107">
        <v>1</v>
      </c>
      <c r="F21" s="3104" t="s">
        <v>2444</v>
      </c>
      <c r="G21" s="3104"/>
    </row>
    <row r="22" spans="1:13" ht="19.5" customHeight="1">
      <c r="A22" s="3771"/>
      <c r="B22" s="3764"/>
      <c r="C22" s="3105" t="s">
        <v>2445</v>
      </c>
      <c r="D22" s="3106"/>
      <c r="E22" s="3107">
        <v>0.9</v>
      </c>
      <c r="F22" s="3104" t="s">
        <v>2446</v>
      </c>
      <c r="G22" s="3104"/>
    </row>
    <row r="23" spans="1:13" ht="19.5" customHeight="1">
      <c r="A23" s="3771"/>
      <c r="B23" s="3764"/>
      <c r="C23" s="3105" t="s">
        <v>2447</v>
      </c>
      <c r="D23" s="3106"/>
      <c r="E23" s="3107">
        <v>0.9</v>
      </c>
      <c r="F23" s="3104" t="s">
        <v>2448</v>
      </c>
      <c r="G23" s="3104"/>
    </row>
    <row r="24" spans="1:13" ht="19.5" customHeight="1">
      <c r="A24" s="3771"/>
      <c r="B24" s="3764"/>
      <c r="C24" s="3105" t="s">
        <v>2449</v>
      </c>
      <c r="D24" s="3106"/>
      <c r="E24" s="3107">
        <v>0.8</v>
      </c>
      <c r="F24" s="3104" t="s">
        <v>2450</v>
      </c>
      <c r="G24" s="3104"/>
    </row>
    <row r="25" spans="1:13" ht="19.5" customHeight="1" thickBot="1">
      <c r="A25" s="3772"/>
      <c r="B25" s="3766"/>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7" t="s">
        <v>2633</v>
      </c>
      <c r="B27" s="3765" t="s">
        <v>2614</v>
      </c>
      <c r="C27" s="3101" t="s">
        <v>2454</v>
      </c>
      <c r="D27" s="3102"/>
      <c r="E27" s="3103">
        <v>1</v>
      </c>
      <c r="F27" s="3104" t="s">
        <v>2455</v>
      </c>
      <c r="G27" s="3104"/>
    </row>
    <row r="28" spans="1:13" ht="19.5" customHeight="1">
      <c r="A28" s="3768"/>
      <c r="B28" s="3764"/>
      <c r="C28" s="3105" t="s">
        <v>2456</v>
      </c>
      <c r="D28" s="3106"/>
      <c r="E28" s="3107">
        <v>1</v>
      </c>
      <c r="F28" s="3104" t="s">
        <v>2457</v>
      </c>
      <c r="G28" s="3104"/>
    </row>
    <row r="29" spans="1:13" ht="19.5" customHeight="1">
      <c r="A29" s="3768"/>
      <c r="B29" s="3764"/>
      <c r="C29" s="3105" t="s">
        <v>2458</v>
      </c>
      <c r="D29" s="3106"/>
      <c r="E29" s="3107">
        <v>0.8</v>
      </c>
      <c r="F29" s="3104" t="s">
        <v>2459</v>
      </c>
      <c r="G29" s="3104"/>
    </row>
    <row r="30" spans="1:13" ht="19.5" customHeight="1">
      <c r="A30" s="3768"/>
      <c r="B30" s="3764"/>
      <c r="C30" s="3105" t="s">
        <v>2460</v>
      </c>
      <c r="D30" s="3106"/>
      <c r="E30" s="3107">
        <v>0.8</v>
      </c>
      <c r="F30" s="3104" t="s">
        <v>2461</v>
      </c>
      <c r="G30" s="3104"/>
    </row>
    <row r="31" spans="1:13" ht="19.5" customHeight="1">
      <c r="A31" s="3768"/>
      <c r="B31" s="3764"/>
      <c r="C31" s="3105" t="s">
        <v>2462</v>
      </c>
      <c r="D31" s="3106"/>
      <c r="E31" s="3107">
        <v>0.8</v>
      </c>
      <c r="F31" s="3104" t="s">
        <v>2463</v>
      </c>
      <c r="G31" s="3104"/>
    </row>
    <row r="32" spans="1:13" ht="19.5" customHeight="1">
      <c r="A32" s="3768"/>
      <c r="B32" s="3764"/>
      <c r="C32" s="3105" t="s">
        <v>2464</v>
      </c>
      <c r="D32" s="3106"/>
      <c r="E32" s="3107">
        <v>0.7</v>
      </c>
      <c r="F32" s="3104" t="s">
        <v>2465</v>
      </c>
      <c r="G32" s="3104"/>
    </row>
    <row r="33" spans="1:7" ht="19.5" customHeight="1">
      <c r="A33" s="3768"/>
      <c r="B33" s="3764"/>
      <c r="C33" s="3105" t="s">
        <v>2466</v>
      </c>
      <c r="D33" s="3106"/>
      <c r="E33" s="3107">
        <v>0.8</v>
      </c>
      <c r="F33" s="3104" t="s">
        <v>2467</v>
      </c>
      <c r="G33" s="3104"/>
    </row>
    <row r="34" spans="1:7" ht="19.5" customHeight="1">
      <c r="A34" s="3768"/>
      <c r="B34" s="3764"/>
      <c r="C34" s="3105" t="s">
        <v>2468</v>
      </c>
      <c r="D34" s="3106"/>
      <c r="E34" s="3107">
        <v>0.6</v>
      </c>
      <c r="F34" s="3104" t="s">
        <v>2469</v>
      </c>
      <c r="G34" s="3104"/>
    </row>
    <row r="35" spans="1:7" ht="19.5" customHeight="1">
      <c r="A35" s="3768"/>
      <c r="B35" s="3764"/>
      <c r="C35" s="3105" t="s">
        <v>2470</v>
      </c>
      <c r="D35" s="3106"/>
      <c r="E35" s="3107">
        <v>0.2</v>
      </c>
      <c r="F35" s="3104" t="s">
        <v>2471</v>
      </c>
      <c r="G35" s="3104"/>
    </row>
    <row r="36" spans="1:7" ht="19.5" customHeight="1">
      <c r="A36" s="3768"/>
      <c r="B36" s="3764"/>
      <c r="C36" s="3105" t="s">
        <v>2472</v>
      </c>
      <c r="D36" s="3106"/>
      <c r="E36" s="3107">
        <v>0.2</v>
      </c>
      <c r="F36" s="3104" t="s">
        <v>2473</v>
      </c>
      <c r="G36" s="3104"/>
    </row>
    <row r="37" spans="1:7" ht="19.5" customHeight="1">
      <c r="A37" s="3768"/>
      <c r="B37" s="3762" t="s">
        <v>2634</v>
      </c>
      <c r="C37" s="3105" t="s">
        <v>2474</v>
      </c>
      <c r="D37" s="3106"/>
      <c r="E37" s="3107">
        <v>0.6</v>
      </c>
      <c r="F37" s="3104" t="s">
        <v>2475</v>
      </c>
      <c r="G37" s="3104"/>
    </row>
    <row r="38" spans="1:7" ht="19.5" customHeight="1">
      <c r="A38" s="3768"/>
      <c r="B38" s="3764"/>
      <c r="C38" s="3105" t="s">
        <v>2476</v>
      </c>
      <c r="D38" s="3106"/>
      <c r="E38" s="3107">
        <v>0.6</v>
      </c>
      <c r="F38" s="3104" t="s">
        <v>2477</v>
      </c>
      <c r="G38" s="3104"/>
    </row>
    <row r="39" spans="1:7" ht="19.5" customHeight="1" thickBot="1">
      <c r="A39" s="3769"/>
      <c r="B39" s="3766"/>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0" t="s">
        <v>2612</v>
      </c>
      <c r="B41" s="3765" t="s">
        <v>2636</v>
      </c>
      <c r="C41" s="3101" t="s">
        <v>2481</v>
      </c>
      <c r="D41" s="3102"/>
      <c r="E41" s="3103">
        <v>1</v>
      </c>
      <c r="F41" s="3104" t="s">
        <v>2482</v>
      </c>
      <c r="G41" s="3104"/>
    </row>
    <row r="42" spans="1:7" ht="19.5" customHeight="1">
      <c r="A42" s="3771"/>
      <c r="B42" s="3764"/>
      <c r="C42" s="3105" t="s">
        <v>2483</v>
      </c>
      <c r="D42" s="3106"/>
      <c r="E42" s="3107">
        <v>1</v>
      </c>
      <c r="F42" s="3104" t="s">
        <v>2484</v>
      </c>
      <c r="G42" s="3104"/>
    </row>
    <row r="43" spans="1:7" ht="19.5" customHeight="1">
      <c r="A43" s="3771"/>
      <c r="B43" s="3763"/>
      <c r="C43" s="3105" t="s">
        <v>2485</v>
      </c>
      <c r="D43" s="3106"/>
      <c r="E43" s="3107">
        <v>1.5</v>
      </c>
      <c r="F43" s="3104" t="s">
        <v>2486</v>
      </c>
      <c r="G43" s="3104"/>
    </row>
    <row r="44" spans="1:7" ht="19.5" customHeight="1">
      <c r="A44" s="3771"/>
      <c r="B44" s="3116" t="s">
        <v>2637</v>
      </c>
      <c r="C44" s="3105" t="s">
        <v>2638</v>
      </c>
      <c r="D44" s="3106"/>
      <c r="E44" s="3107">
        <v>2</v>
      </c>
      <c r="F44" s="3104" t="s">
        <v>2487</v>
      </c>
      <c r="G44" s="3104"/>
    </row>
    <row r="45" spans="1:7" ht="19.5" customHeight="1">
      <c r="A45" s="3771"/>
      <c r="B45" s="3762" t="s">
        <v>2639</v>
      </c>
      <c r="C45" s="3105" t="s">
        <v>2488</v>
      </c>
      <c r="D45" s="3106"/>
      <c r="E45" s="3107">
        <v>1</v>
      </c>
      <c r="F45" s="3104" t="s">
        <v>2489</v>
      </c>
      <c r="G45" s="3104"/>
    </row>
    <row r="46" spans="1:7" ht="19.5" customHeight="1">
      <c r="A46" s="3771"/>
      <c r="B46" s="3764"/>
      <c r="C46" s="3105" t="s">
        <v>2490</v>
      </c>
      <c r="D46" s="3106"/>
      <c r="E46" s="3107">
        <v>1</v>
      </c>
      <c r="F46" s="3104" t="s">
        <v>2491</v>
      </c>
      <c r="G46" s="3104"/>
    </row>
    <row r="47" spans="1:7" ht="19.5" customHeight="1">
      <c r="A47" s="3771"/>
      <c r="B47" s="3764"/>
      <c r="C47" s="3105" t="s">
        <v>2492</v>
      </c>
      <c r="D47" s="3106"/>
      <c r="E47" s="3107">
        <v>1</v>
      </c>
      <c r="F47" s="3104" t="s">
        <v>2493</v>
      </c>
      <c r="G47" s="3104"/>
    </row>
    <row r="48" spans="1:7" ht="19.5" customHeight="1">
      <c r="A48" s="3771"/>
      <c r="B48" s="3764"/>
      <c r="C48" s="3105" t="s">
        <v>2494</v>
      </c>
      <c r="D48" s="3106"/>
      <c r="E48" s="3107">
        <v>1</v>
      </c>
      <c r="F48" s="3104" t="s">
        <v>2495</v>
      </c>
      <c r="G48" s="3104"/>
    </row>
    <row r="49" spans="1:7" ht="19.5" customHeight="1">
      <c r="A49" s="3771"/>
      <c r="B49" s="3764"/>
      <c r="C49" s="3105" t="s">
        <v>2496</v>
      </c>
      <c r="D49" s="3106"/>
      <c r="E49" s="3107">
        <v>1</v>
      </c>
      <c r="F49" s="3104" t="s">
        <v>2497</v>
      </c>
      <c r="G49" s="3104"/>
    </row>
    <row r="50" spans="1:7" ht="19.5" customHeight="1">
      <c r="A50" s="3771"/>
      <c r="B50" s="3764"/>
      <c r="C50" s="3105" t="s">
        <v>2498</v>
      </c>
      <c r="D50" s="3106"/>
      <c r="E50" s="3107">
        <v>1</v>
      </c>
      <c r="F50" s="3104" t="s">
        <v>2499</v>
      </c>
      <c r="G50" s="3104"/>
    </row>
    <row r="51" spans="1:7" ht="19.5" customHeight="1" thickBot="1">
      <c r="A51" s="3772"/>
      <c r="B51" s="3766"/>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2" t="s">
        <v>2653</v>
      </c>
      <c r="C73" s="3090" t="s">
        <v>2654</v>
      </c>
      <c r="D73" s="3090" t="s">
        <v>2655</v>
      </c>
      <c r="E73" s="3116">
        <v>0.2</v>
      </c>
      <c r="F73" s="3116">
        <v>25</v>
      </c>
    </row>
    <row r="74" spans="1:7" ht="24">
      <c r="A74" s="3116">
        <v>2</v>
      </c>
      <c r="B74" s="3764"/>
      <c r="C74" s="3090" t="s">
        <v>2656</v>
      </c>
      <c r="D74" s="3090" t="s">
        <v>2657</v>
      </c>
      <c r="E74" s="3116">
        <v>0.2</v>
      </c>
      <c r="F74" s="3116">
        <v>25</v>
      </c>
    </row>
    <row r="75" spans="1:7" ht="24">
      <c r="A75" s="3116">
        <v>3</v>
      </c>
      <c r="B75" s="3764"/>
      <c r="C75" s="3090" t="s">
        <v>2658</v>
      </c>
      <c r="D75" s="3090" t="s">
        <v>2659</v>
      </c>
      <c r="E75" s="3116">
        <v>0.2</v>
      </c>
      <c r="F75" s="3116">
        <v>25</v>
      </c>
    </row>
    <row r="76" spans="1:7" ht="13.5">
      <c r="A76" s="3116">
        <v>4</v>
      </c>
      <c r="B76" s="3764"/>
      <c r="C76" s="3090" t="s">
        <v>2660</v>
      </c>
      <c r="D76" s="3090" t="s">
        <v>2661</v>
      </c>
      <c r="E76" s="3116">
        <v>0.15</v>
      </c>
      <c r="F76" s="3116">
        <v>20</v>
      </c>
    </row>
    <row r="77" spans="1:7" ht="24">
      <c r="A77" s="3116">
        <v>5</v>
      </c>
      <c r="B77" s="3764"/>
      <c r="C77" s="3090" t="s">
        <v>2662</v>
      </c>
      <c r="D77" s="3090" t="s">
        <v>2663</v>
      </c>
      <c r="E77" s="3116">
        <v>0.15</v>
      </c>
      <c r="F77" s="3116">
        <v>20</v>
      </c>
    </row>
    <row r="78" spans="1:7" ht="24">
      <c r="A78" s="3116">
        <v>6</v>
      </c>
      <c r="B78" s="3764"/>
      <c r="C78" s="3090" t="s">
        <v>2664</v>
      </c>
      <c r="D78" s="3090" t="s">
        <v>2665</v>
      </c>
      <c r="E78" s="3116">
        <v>0.15</v>
      </c>
      <c r="F78" s="3116">
        <v>20</v>
      </c>
    </row>
    <row r="79" spans="1:7" ht="24">
      <c r="A79" s="3116">
        <v>7</v>
      </c>
      <c r="B79" s="3764"/>
      <c r="C79" s="3090" t="s">
        <v>2666</v>
      </c>
      <c r="D79" s="3090" t="s">
        <v>2667</v>
      </c>
      <c r="E79" s="3116">
        <v>0.15</v>
      </c>
      <c r="F79" s="3116">
        <v>20</v>
      </c>
    </row>
    <row r="80" spans="1:7" ht="24">
      <c r="A80" s="3116">
        <v>8</v>
      </c>
      <c r="B80" s="3764"/>
      <c r="C80" s="3090" t="s">
        <v>2668</v>
      </c>
      <c r="D80" s="3090" t="s">
        <v>2669</v>
      </c>
      <c r="E80" s="3116">
        <v>0.1</v>
      </c>
      <c r="F80" s="3116">
        <v>15</v>
      </c>
    </row>
    <row r="81" spans="1:6" ht="24">
      <c r="A81" s="3116">
        <v>9</v>
      </c>
      <c r="B81" s="3764"/>
      <c r="C81" s="3090" t="s">
        <v>2670</v>
      </c>
      <c r="D81" s="3090" t="s">
        <v>2671</v>
      </c>
      <c r="E81" s="3116">
        <v>0.1</v>
      </c>
      <c r="F81" s="3116">
        <v>15</v>
      </c>
    </row>
    <row r="82" spans="1:6" ht="24">
      <c r="A82" s="3116">
        <v>10</v>
      </c>
      <c r="B82" s="3764"/>
      <c r="C82" s="3090" t="s">
        <v>2672</v>
      </c>
      <c r="D82" s="3090" t="s">
        <v>2673</v>
      </c>
      <c r="E82" s="3116">
        <v>0.1</v>
      </c>
      <c r="F82" s="3116">
        <v>15</v>
      </c>
    </row>
    <row r="83" spans="1:6" ht="24">
      <c r="A83" s="3116">
        <v>11</v>
      </c>
      <c r="B83" s="3764"/>
      <c r="C83" s="3090" t="s">
        <v>2674</v>
      </c>
      <c r="D83" s="3090" t="s">
        <v>2675</v>
      </c>
      <c r="E83" s="3116">
        <v>0.1</v>
      </c>
      <c r="F83" s="3116">
        <v>15</v>
      </c>
    </row>
    <row r="84" spans="1:6" ht="24">
      <c r="A84" s="3116">
        <v>12</v>
      </c>
      <c r="B84" s="3764"/>
      <c r="C84" s="3090" t="s">
        <v>2676</v>
      </c>
      <c r="D84" s="3090" t="s">
        <v>2677</v>
      </c>
      <c r="E84" s="3116">
        <v>0.1</v>
      </c>
      <c r="F84" s="3116">
        <v>15</v>
      </c>
    </row>
    <row r="85" spans="1:6" ht="13.5">
      <c r="A85" s="3116">
        <v>13</v>
      </c>
      <c r="B85" s="3764"/>
      <c r="C85" s="3090" t="s">
        <v>2678</v>
      </c>
      <c r="D85" s="3090" t="s">
        <v>2679</v>
      </c>
      <c r="E85" s="3116">
        <v>0.1</v>
      </c>
      <c r="F85" s="3116">
        <v>15</v>
      </c>
    </row>
    <row r="86" spans="1:6" ht="13.5">
      <c r="A86" s="3116">
        <v>14</v>
      </c>
      <c r="B86" s="3764"/>
      <c r="C86" s="3090" t="s">
        <v>2680</v>
      </c>
      <c r="D86" s="3090" t="s">
        <v>2681</v>
      </c>
      <c r="E86" s="3116">
        <v>0.1</v>
      </c>
      <c r="F86" s="3116">
        <v>15</v>
      </c>
    </row>
    <row r="87" spans="1:6" ht="13.5">
      <c r="A87" s="3116">
        <v>15</v>
      </c>
      <c r="B87" s="3764"/>
      <c r="C87" s="3090" t="s">
        <v>2682</v>
      </c>
      <c r="D87" s="3090" t="s">
        <v>2683</v>
      </c>
      <c r="E87" s="3116">
        <v>0.1</v>
      </c>
      <c r="F87" s="3116">
        <v>15</v>
      </c>
    </row>
    <row r="88" spans="1:6" ht="24">
      <c r="A88" s="3116">
        <v>16</v>
      </c>
      <c r="B88" s="3764"/>
      <c r="C88" s="3090" t="s">
        <v>2684</v>
      </c>
      <c r="D88" s="3090" t="s">
        <v>2685</v>
      </c>
      <c r="E88" s="3116">
        <v>0.1</v>
      </c>
      <c r="F88" s="3116">
        <v>15</v>
      </c>
    </row>
    <row r="89" spans="1:6" ht="24">
      <c r="A89" s="3116">
        <v>17</v>
      </c>
      <c r="B89" s="3763"/>
      <c r="C89" s="3090" t="s">
        <v>2686</v>
      </c>
      <c r="D89" s="3090" t="s">
        <v>2687</v>
      </c>
      <c r="E89" s="3116">
        <v>0.1</v>
      </c>
      <c r="F89" s="3116">
        <v>15</v>
      </c>
    </row>
    <row r="90" spans="1:6" ht="13.5">
      <c r="A90" s="3116">
        <v>18</v>
      </c>
      <c r="B90" s="3762" t="s">
        <v>2688</v>
      </c>
      <c r="C90" s="3090" t="s">
        <v>2689</v>
      </c>
      <c r="D90" s="3090" t="s">
        <v>2690</v>
      </c>
      <c r="E90" s="3116">
        <v>0.2</v>
      </c>
      <c r="F90" s="3116">
        <v>25</v>
      </c>
    </row>
    <row r="91" spans="1:6" ht="24">
      <c r="A91" s="3116">
        <v>19</v>
      </c>
      <c r="B91" s="3764"/>
      <c r="C91" s="3090" t="s">
        <v>2691</v>
      </c>
      <c r="D91" s="3090" t="s">
        <v>2692</v>
      </c>
      <c r="E91" s="3116">
        <v>0.2</v>
      </c>
      <c r="F91" s="3116">
        <v>25</v>
      </c>
    </row>
    <row r="92" spans="1:6" ht="13.5">
      <c r="A92" s="3116">
        <v>20</v>
      </c>
      <c r="B92" s="3764"/>
      <c r="C92" s="3090" t="s">
        <v>2693</v>
      </c>
      <c r="D92" s="3090" t="s">
        <v>2694</v>
      </c>
      <c r="E92" s="3116">
        <v>0.15</v>
      </c>
      <c r="F92" s="3116">
        <v>20</v>
      </c>
    </row>
    <row r="93" spans="1:6" ht="13.5">
      <c r="A93" s="3116">
        <v>21</v>
      </c>
      <c r="B93" s="3764"/>
      <c r="C93" s="3090" t="s">
        <v>2695</v>
      </c>
      <c r="D93" s="3090" t="s">
        <v>2696</v>
      </c>
      <c r="E93" s="3116">
        <v>0.15</v>
      </c>
      <c r="F93" s="3116">
        <v>20</v>
      </c>
    </row>
    <row r="94" spans="1:6" ht="13.5">
      <c r="A94" s="3116">
        <v>22</v>
      </c>
      <c r="B94" s="3764"/>
      <c r="C94" s="3090" t="s">
        <v>2697</v>
      </c>
      <c r="D94" s="3090" t="s">
        <v>2698</v>
      </c>
      <c r="E94" s="3116">
        <v>0.15</v>
      </c>
      <c r="F94" s="3116">
        <v>20</v>
      </c>
    </row>
    <row r="95" spans="1:6" ht="36">
      <c r="A95" s="3116">
        <v>23</v>
      </c>
      <c r="B95" s="3764"/>
      <c r="C95" s="3090" t="s">
        <v>2699</v>
      </c>
      <c r="D95" s="3090" t="s">
        <v>2700</v>
      </c>
      <c r="E95" s="3116">
        <v>0.15</v>
      </c>
      <c r="F95" s="3116">
        <v>20</v>
      </c>
    </row>
    <row r="96" spans="1:6" ht="13.5">
      <c r="A96" s="3116">
        <v>24</v>
      </c>
      <c r="B96" s="3764"/>
      <c r="C96" s="3090" t="s">
        <v>2701</v>
      </c>
      <c r="D96" s="3090" t="s">
        <v>2702</v>
      </c>
      <c r="E96" s="3116">
        <v>0.1</v>
      </c>
      <c r="F96" s="3116">
        <v>15</v>
      </c>
    </row>
    <row r="97" spans="1:6" ht="13.5">
      <c r="A97" s="3116">
        <v>25</v>
      </c>
      <c r="B97" s="3764"/>
      <c r="C97" s="3090" t="s">
        <v>2703</v>
      </c>
      <c r="D97" s="3090" t="s">
        <v>2704</v>
      </c>
      <c r="E97" s="3116">
        <v>0.1</v>
      </c>
      <c r="F97" s="3116">
        <v>15</v>
      </c>
    </row>
    <row r="98" spans="1:6" ht="24">
      <c r="A98" s="3116">
        <v>26</v>
      </c>
      <c r="B98" s="3764"/>
      <c r="C98" s="3090" t="s">
        <v>2705</v>
      </c>
      <c r="D98" s="3090" t="s">
        <v>2706</v>
      </c>
      <c r="E98" s="3116">
        <v>0.1</v>
      </c>
      <c r="F98" s="3116">
        <v>15</v>
      </c>
    </row>
    <row r="99" spans="1:6" ht="24">
      <c r="A99" s="3116">
        <v>27</v>
      </c>
      <c r="B99" s="3764"/>
      <c r="C99" s="3090" t="s">
        <v>2707</v>
      </c>
      <c r="D99" s="3090" t="s">
        <v>2708</v>
      </c>
      <c r="E99" s="3116">
        <v>0.1</v>
      </c>
      <c r="F99" s="3116">
        <v>15</v>
      </c>
    </row>
    <row r="100" spans="1:6" ht="13.5">
      <c r="A100" s="3116">
        <v>28</v>
      </c>
      <c r="B100" s="3764"/>
      <c r="C100" s="3090" t="s">
        <v>2709</v>
      </c>
      <c r="D100" s="3090" t="s">
        <v>2710</v>
      </c>
      <c r="E100" s="3116">
        <v>0.1</v>
      </c>
      <c r="F100" s="3116">
        <v>15</v>
      </c>
    </row>
    <row r="101" spans="1:6" ht="13.5">
      <c r="A101" s="3116">
        <v>29</v>
      </c>
      <c r="B101" s="3764"/>
      <c r="C101" s="3090" t="s">
        <v>2711</v>
      </c>
      <c r="D101" s="3090" t="s">
        <v>2712</v>
      </c>
      <c r="E101" s="3116">
        <v>0.1</v>
      </c>
      <c r="F101" s="3116">
        <v>15</v>
      </c>
    </row>
    <row r="102" spans="1:6" ht="13.5">
      <c r="A102" s="3116">
        <v>30</v>
      </c>
      <c r="B102" s="3764"/>
      <c r="C102" s="3090" t="s">
        <v>2713</v>
      </c>
      <c r="D102" s="3090" t="s">
        <v>2714</v>
      </c>
      <c r="E102" s="3116">
        <v>0.1</v>
      </c>
      <c r="F102" s="3116">
        <v>15</v>
      </c>
    </row>
    <row r="103" spans="1:6" ht="24">
      <c r="A103" s="3116">
        <v>31</v>
      </c>
      <c r="B103" s="3764"/>
      <c r="C103" s="3090" t="s">
        <v>2715</v>
      </c>
      <c r="D103" s="3090" t="s">
        <v>2716</v>
      </c>
      <c r="E103" s="3116">
        <v>0.1</v>
      </c>
      <c r="F103" s="3116">
        <v>15</v>
      </c>
    </row>
    <row r="104" spans="1:6" ht="24">
      <c r="A104" s="3116">
        <v>32</v>
      </c>
      <c r="B104" s="3764"/>
      <c r="C104" s="3090" t="s">
        <v>2717</v>
      </c>
      <c r="D104" s="3090" t="s">
        <v>2718</v>
      </c>
      <c r="E104" s="3116">
        <v>0.1</v>
      </c>
      <c r="F104" s="3116">
        <v>15</v>
      </c>
    </row>
    <row r="105" spans="1:6" ht="24">
      <c r="A105" s="3116">
        <v>33</v>
      </c>
      <c r="B105" s="3764"/>
      <c r="C105" s="3090" t="s">
        <v>2719</v>
      </c>
      <c r="D105" s="3090" t="s">
        <v>2720</v>
      </c>
      <c r="E105" s="3116">
        <v>0.1</v>
      </c>
      <c r="F105" s="3116">
        <v>15</v>
      </c>
    </row>
    <row r="106" spans="1:6" ht="24">
      <c r="A106" s="3116">
        <v>34</v>
      </c>
      <c r="B106" s="3763"/>
      <c r="C106" s="3090" t="s">
        <v>2721</v>
      </c>
      <c r="D106" s="3090" t="s">
        <v>2722</v>
      </c>
      <c r="E106" s="3116">
        <v>0.1</v>
      </c>
      <c r="F106" s="3116">
        <v>15</v>
      </c>
    </row>
    <row r="107" spans="1:6" ht="24">
      <c r="A107" s="3116">
        <v>35</v>
      </c>
      <c r="B107" s="3762" t="s">
        <v>2723</v>
      </c>
      <c r="C107" s="3116" t="s">
        <v>2724</v>
      </c>
      <c r="D107" s="3090" t="s">
        <v>2725</v>
      </c>
      <c r="E107" s="3116">
        <v>0.15</v>
      </c>
      <c r="F107" s="3116">
        <v>20</v>
      </c>
    </row>
    <row r="108" spans="1:6" ht="13.5">
      <c r="A108" s="3116">
        <v>36</v>
      </c>
      <c r="B108" s="3764"/>
      <c r="C108" s="3116" t="s">
        <v>2726</v>
      </c>
      <c r="D108" s="3090" t="s">
        <v>2727</v>
      </c>
      <c r="E108" s="3116">
        <v>0.15</v>
      </c>
      <c r="F108" s="3116">
        <v>20</v>
      </c>
    </row>
    <row r="109" spans="1:6" ht="13.5">
      <c r="A109" s="3116">
        <v>37</v>
      </c>
      <c r="B109" s="3764"/>
      <c r="C109" s="3116" t="s">
        <v>2728</v>
      </c>
      <c r="D109" s="3090" t="s">
        <v>2729</v>
      </c>
      <c r="E109" s="3116">
        <v>0.15</v>
      </c>
      <c r="F109" s="3116">
        <v>20</v>
      </c>
    </row>
    <row r="110" spans="1:6" ht="13.5">
      <c r="A110" s="3116">
        <v>38</v>
      </c>
      <c r="B110" s="3764"/>
      <c r="C110" s="3116" t="s">
        <v>2730</v>
      </c>
      <c r="D110" s="3090" t="s">
        <v>2731</v>
      </c>
      <c r="E110" s="3116">
        <v>0.1</v>
      </c>
      <c r="F110" s="3116">
        <v>15</v>
      </c>
    </row>
    <row r="111" spans="1:6" ht="24">
      <c r="A111" s="3116">
        <v>39</v>
      </c>
      <c r="B111" s="3764"/>
      <c r="C111" s="3116" t="s">
        <v>2732</v>
      </c>
      <c r="D111" s="3090" t="s">
        <v>2733</v>
      </c>
      <c r="E111" s="3116">
        <v>0.1</v>
      </c>
      <c r="F111" s="3116">
        <v>15</v>
      </c>
    </row>
    <row r="112" spans="1:6" ht="24">
      <c r="A112" s="3116">
        <v>40</v>
      </c>
      <c r="B112" s="3763"/>
      <c r="C112" s="3116" t="s">
        <v>2734</v>
      </c>
      <c r="D112" s="3090" t="s">
        <v>2735</v>
      </c>
      <c r="E112" s="3116">
        <v>0.1</v>
      </c>
      <c r="F112" s="3116">
        <v>15</v>
      </c>
    </row>
    <row r="113" spans="1:6" ht="13.5">
      <c r="A113" s="3116">
        <v>41</v>
      </c>
      <c r="B113" s="3761" t="s">
        <v>2736</v>
      </c>
      <c r="C113" s="3116" t="s">
        <v>2737</v>
      </c>
      <c r="D113" s="3090" t="s">
        <v>2738</v>
      </c>
      <c r="E113" s="3116">
        <v>0.1</v>
      </c>
      <c r="F113" s="3116">
        <v>15</v>
      </c>
    </row>
    <row r="114" spans="1:6" ht="13.5">
      <c r="A114" s="3116">
        <v>42</v>
      </c>
      <c r="B114" s="3761"/>
      <c r="C114" s="3116" t="s">
        <v>2739</v>
      </c>
      <c r="D114" s="3090" t="s">
        <v>2740</v>
      </c>
      <c r="E114" s="3116">
        <v>0.1</v>
      </c>
      <c r="F114" s="3116">
        <v>15</v>
      </c>
    </row>
    <row r="115" spans="1:6" ht="24">
      <c r="A115" s="3116">
        <v>43</v>
      </c>
      <c r="B115" s="3761"/>
      <c r="C115" s="3116" t="s">
        <v>2741</v>
      </c>
      <c r="D115" s="3090" t="s">
        <v>2742</v>
      </c>
      <c r="E115" s="3116">
        <v>0.1</v>
      </c>
      <c r="F115" s="3116">
        <v>15</v>
      </c>
    </row>
    <row r="116" spans="1:6" ht="13.5">
      <c r="A116" s="3116">
        <v>44</v>
      </c>
      <c r="B116" s="3762" t="s">
        <v>2743</v>
      </c>
      <c r="C116" s="3116" t="s">
        <v>2744</v>
      </c>
      <c r="D116" s="3090" t="s">
        <v>2745</v>
      </c>
      <c r="E116" s="3116">
        <v>0.1</v>
      </c>
      <c r="F116" s="3116">
        <v>15</v>
      </c>
    </row>
    <row r="117" spans="1:6" ht="24">
      <c r="A117" s="3116">
        <v>45</v>
      </c>
      <c r="B117" s="3763"/>
      <c r="C117" s="3090" t="s">
        <v>2746</v>
      </c>
      <c r="D117" s="3090" t="s">
        <v>2747</v>
      </c>
      <c r="E117" s="3116">
        <v>0.1</v>
      </c>
      <c r="F117" s="3116">
        <v>15</v>
      </c>
    </row>
    <row r="118" spans="1:6" ht="24">
      <c r="A118" s="3116">
        <v>46</v>
      </c>
      <c r="B118" s="3762" t="s">
        <v>2748</v>
      </c>
      <c r="C118" s="3116" t="s">
        <v>2749</v>
      </c>
      <c r="D118" s="3090" t="s">
        <v>2750</v>
      </c>
      <c r="E118" s="3116">
        <v>0.1</v>
      </c>
      <c r="F118" s="3116">
        <v>15</v>
      </c>
    </row>
    <row r="119" spans="1:6" ht="24">
      <c r="A119" s="3116">
        <v>47</v>
      </c>
      <c r="B119" s="3763"/>
      <c r="C119" s="3116" t="s">
        <v>2751</v>
      </c>
      <c r="D119" s="3090" t="s">
        <v>2752</v>
      </c>
      <c r="E119" s="3116">
        <v>0.1</v>
      </c>
      <c r="F119" s="3116">
        <v>15</v>
      </c>
    </row>
    <row r="120" spans="1:6" ht="13.5">
      <c r="A120" s="3116">
        <v>48</v>
      </c>
      <c r="B120" s="3762" t="s">
        <v>2753</v>
      </c>
      <c r="C120" s="3116" t="s">
        <v>2754</v>
      </c>
      <c r="D120" s="3090" t="s">
        <v>2755</v>
      </c>
      <c r="E120" s="3116">
        <v>0.1</v>
      </c>
      <c r="F120" s="3116">
        <v>15</v>
      </c>
    </row>
    <row r="121" spans="1:6" ht="13.5">
      <c r="A121" s="3116">
        <v>49</v>
      </c>
      <c r="B121" s="3763"/>
      <c r="C121" s="3116" t="s">
        <v>2756</v>
      </c>
      <c r="D121" s="3090" t="s">
        <v>2757</v>
      </c>
      <c r="E121" s="3116">
        <v>0.1</v>
      </c>
      <c r="F121" s="3116">
        <v>15</v>
      </c>
    </row>
    <row r="122" spans="1:6" ht="24">
      <c r="A122" s="3116">
        <v>50</v>
      </c>
      <c r="B122" s="3761" t="s">
        <v>2758</v>
      </c>
      <c r="C122" s="3116" t="s">
        <v>2759</v>
      </c>
      <c r="D122" s="3090" t="s">
        <v>2760</v>
      </c>
      <c r="E122" s="3116">
        <v>0.1</v>
      </c>
      <c r="F122" s="3116">
        <v>15</v>
      </c>
    </row>
    <row r="123" spans="1:6" ht="24">
      <c r="A123" s="3116">
        <v>51</v>
      </c>
      <c r="B123" s="3761"/>
      <c r="C123" s="3116" t="s">
        <v>2761</v>
      </c>
      <c r="D123" s="3090" t="s">
        <v>2762</v>
      </c>
      <c r="E123" s="3116">
        <v>0.1</v>
      </c>
      <c r="F123" s="3116">
        <v>15</v>
      </c>
    </row>
    <row r="124" spans="1:6" ht="24">
      <c r="A124" s="3116">
        <v>52</v>
      </c>
      <c r="B124" s="3761" t="s">
        <v>2763</v>
      </c>
      <c r="C124" s="3116" t="s">
        <v>2764</v>
      </c>
      <c r="D124" s="3090" t="s">
        <v>2765</v>
      </c>
      <c r="E124" s="3116">
        <v>0.1</v>
      </c>
      <c r="F124" s="3116">
        <v>15</v>
      </c>
    </row>
    <row r="125" spans="1:6" ht="24">
      <c r="A125" s="3116">
        <v>53</v>
      </c>
      <c r="B125" s="3761"/>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1" t="s">
        <v>2771</v>
      </c>
      <c r="C127" s="3116" t="s">
        <v>2772</v>
      </c>
      <c r="D127" s="3090" t="s">
        <v>2773</v>
      </c>
      <c r="E127" s="3116">
        <v>0.1</v>
      </c>
      <c r="F127" s="3116">
        <v>15</v>
      </c>
    </row>
    <row r="128" spans="1:6" ht="13.5">
      <c r="A128" s="3116">
        <v>56</v>
      </c>
      <c r="B128" s="3761"/>
      <c r="C128" s="3116" t="s">
        <v>2774</v>
      </c>
      <c r="D128" s="3090" t="s">
        <v>2775</v>
      </c>
      <c r="E128" s="3116">
        <v>0.1</v>
      </c>
      <c r="F128" s="3116">
        <v>15</v>
      </c>
    </row>
    <row r="129" spans="1:6" ht="24">
      <c r="A129" s="3116">
        <v>57</v>
      </c>
      <c r="B129" s="3761"/>
      <c r="C129" s="3116" t="s">
        <v>2776</v>
      </c>
      <c r="D129" s="3090" t="s">
        <v>2777</v>
      </c>
      <c r="E129" s="3116">
        <v>0.1</v>
      </c>
      <c r="F129" s="3116">
        <v>15</v>
      </c>
    </row>
    <row r="130" spans="1:6" ht="24">
      <c r="A130" s="3116">
        <v>58</v>
      </c>
      <c r="B130" s="3761" t="s">
        <v>2778</v>
      </c>
      <c r="C130" s="3116" t="s">
        <v>2779</v>
      </c>
      <c r="D130" s="3090" t="s">
        <v>2780</v>
      </c>
      <c r="E130" s="3116">
        <v>0.1</v>
      </c>
      <c r="F130" s="3116">
        <v>15</v>
      </c>
    </row>
    <row r="131" spans="1:6" ht="13.5">
      <c r="A131" s="3116">
        <v>59</v>
      </c>
      <c r="B131" s="3761"/>
      <c r="C131" s="3116" t="s">
        <v>2781</v>
      </c>
      <c r="D131" s="3090" t="s">
        <v>2782</v>
      </c>
      <c r="E131" s="3116">
        <v>0.1</v>
      </c>
      <c r="F131" s="3116">
        <v>15</v>
      </c>
    </row>
    <row r="132" spans="1:6" ht="13.5">
      <c r="A132" s="3116">
        <v>60</v>
      </c>
      <c r="B132" s="3762" t="s">
        <v>2783</v>
      </c>
      <c r="C132" s="3116" t="s">
        <v>2784</v>
      </c>
      <c r="D132" s="3090" t="s">
        <v>2785</v>
      </c>
      <c r="E132" s="3116">
        <v>0.1</v>
      </c>
      <c r="F132" s="3116">
        <v>15</v>
      </c>
    </row>
    <row r="133" spans="1:6" ht="13.5">
      <c r="A133" s="3116">
        <v>61</v>
      </c>
      <c r="B133" s="3763"/>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1" t="s">
        <v>2791</v>
      </c>
      <c r="C135" s="3116" t="s">
        <v>2792</v>
      </c>
      <c r="D135" s="3090" t="s">
        <v>2793</v>
      </c>
      <c r="E135" s="3116">
        <v>0.1</v>
      </c>
      <c r="F135" s="3116">
        <v>15</v>
      </c>
    </row>
    <row r="136" spans="1:6" ht="13.5">
      <c r="A136" s="3116">
        <v>64</v>
      </c>
      <c r="B136" s="3761"/>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7" t="s">
        <v>94</v>
      </c>
    </row>
    <row r="43" spans="1:7" ht="13.5" customHeight="1">
      <c r="A43" s="780" t="s">
        <v>347</v>
      </c>
      <c r="B43" s="215" t="s">
        <v>426</v>
      </c>
      <c r="C43" s="238" t="e">
        <f ca="1">ROUND(IF('数据-取费表'!B22&lt;=1,C39*F22*'数据-取费表'!B21/2,C39*(POWER((1+F22),'数据-取费表'!B21/2)-1)),0)</f>
        <v>#VALUE!</v>
      </c>
      <c r="D43" s="238"/>
      <c r="E43" s="238"/>
      <c r="F43" s="239"/>
      <c r="G43" s="3638"/>
    </row>
    <row r="44" spans="1:7" ht="13.5" customHeight="1">
      <c r="A44" s="780" t="s">
        <v>348</v>
      </c>
      <c r="B44" s="215" t="s">
        <v>428</v>
      </c>
      <c r="C44" s="238" t="e">
        <f ca="1">ROUND(IF('数据-取费表'!B22&lt;=1,C40*F22*'数据-取费表'!B21/2,C40*(POWER((1+F22),'数据-取费表'!B21/2)-1)),4)</f>
        <v>#VALUE!</v>
      </c>
      <c r="D44" s="238"/>
      <c r="E44" s="238"/>
      <c r="F44" s="239"/>
      <c r="G44" s="3639"/>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2843</v>
      </c>
      <c r="B1" s="3775"/>
      <c r="C1" s="3775"/>
      <c r="D1" s="3775"/>
      <c r="E1" s="3775"/>
      <c r="F1" s="3775"/>
      <c r="G1" s="3776"/>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3" t="s">
        <v>2870</v>
      </c>
      <c r="B3" s="3228"/>
      <c r="C3" s="3229" t="s">
        <v>2813</v>
      </c>
      <c r="D3" s="3229" t="s">
        <v>2871</v>
      </c>
      <c r="E3" s="3229" t="s">
        <v>2815</v>
      </c>
      <c r="F3" s="3229" t="s">
        <v>2872</v>
      </c>
      <c r="G3" s="3229" t="s">
        <v>2633</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4"/>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3185</v>
      </c>
      <c r="B1" s="3777"/>
    </row>
    <row r="2" spans="1:7" ht="14.25" thickBot="1">
      <c r="A2" s="3253"/>
      <c r="B2" s="3253"/>
    </row>
    <row r="3" spans="1:7" ht="14.25" thickBot="1">
      <c r="A3" s="3253"/>
      <c r="B3" s="3253"/>
      <c r="C3" s="3254" t="s">
        <v>2813</v>
      </c>
      <c r="D3" s="3254" t="s">
        <v>2871</v>
      </c>
      <c r="E3" s="3254" t="s">
        <v>2815</v>
      </c>
      <c r="F3" s="3254" t="s">
        <v>2872</v>
      </c>
      <c r="G3" s="3254" t="s">
        <v>2633</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778" t="s">
        <v>3236</v>
      </c>
      <c r="B1" s="3778"/>
      <c r="C1" s="3778"/>
      <c r="D1" s="3778"/>
      <c r="E1" s="3778"/>
      <c r="F1" s="3779"/>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45076</v>
      </c>
      <c r="B1" s="3208" t="s">
        <v>2842</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80" t="s">
        <v>2830</v>
      </c>
      <c r="S21" s="3781"/>
      <c r="T21" s="3781"/>
      <c r="U21" s="3781"/>
      <c r="V21" s="3781"/>
      <c r="W21" s="3781"/>
      <c r="X21" s="3163"/>
      <c r="Y21" s="3780" t="s">
        <v>2831</v>
      </c>
      <c r="Z21" s="3781"/>
      <c r="AA21" s="3781"/>
      <c r="AB21" s="3781"/>
      <c r="AC21" s="3781"/>
      <c r="AD21" s="3781"/>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0</v>
      </c>
      <c r="F1" s="1302" t="s">
        <v>604</v>
      </c>
      <c r="G1" s="1298" t="e">
        <f ca="1">INDIRECT("d"&amp;$K$1)/100</f>
        <v>#VALUE!</v>
      </c>
      <c r="H1" s="1302" t="s">
        <v>634</v>
      </c>
      <c r="I1" s="1298">
        <f ca="1">F4/100</f>
        <v>1.4999999999999999E-2</v>
      </c>
      <c r="J1" s="1303">
        <f>IF(C1&gt;C13,0,MATCH(C1,C$13:C$109,-1))+IF(SUMIF(C13:C109,C1,D13:D109)=0,13,12)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8" t="s">
        <v>927</v>
      </c>
      <c r="B5" s="3468"/>
      <c r="C5" s="3468"/>
      <c r="D5" s="3468" t="e">
        <f ca="1">结果表!D119</f>
        <v>#REF!</v>
      </c>
      <c r="E5" s="3468"/>
      <c r="F5" s="3468" t="e">
        <f ca="1">结果表!F119</f>
        <v>#REF!</v>
      </c>
      <c r="G5" s="3468"/>
      <c r="H5" s="3468" t="e">
        <f ca="1">结果表!H119</f>
        <v>#REF!</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t="e">
        <f ca="1">结果表!D122</f>
        <v>#REF!</v>
      </c>
      <c r="E8" s="3467"/>
      <c r="F8" s="3467"/>
      <c r="G8" s="3467"/>
      <c r="H8" s="3467"/>
      <c r="I8" s="3467"/>
    </row>
    <row r="9" spans="1:9" ht="15">
      <c r="A9" s="3468" t="s">
        <v>927</v>
      </c>
      <c r="B9" s="3468"/>
      <c r="C9" s="3468"/>
      <c r="D9" s="3468" t="e">
        <f ca="1">结果表!D123</f>
        <v>#REF!</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9"/>
      <c r="C12" s="3479"/>
      <c r="D12" s="3479"/>
    </row>
    <row r="13" spans="1:4" ht="30" customHeight="1">
      <c r="A13" s="3474" t="str">
        <f>IF(项目基本情况!B8="抵押","3.抵押双方在办理抵押登记手续时，应使用本公司出具的正式《房地产评估报告》，特提醒报告使用者注意。","——")</f>
        <v>——</v>
      </c>
      <c r="B13" s="3479"/>
      <c r="C13" s="3479"/>
      <c r="D13" s="3479"/>
    </row>
    <row r="14" spans="1:4" ht="15.75" customHeight="1">
      <c r="A14" s="3474" t="str">
        <f>IF(项目基本情况!B8="抵押","4.本次评估估价师所知悉的法定优先受偿款情况说明如下：","——")</f>
        <v>——</v>
      </c>
      <c r="B14" s="3479"/>
      <c r="C14" s="3479"/>
      <c r="D14" s="3479"/>
    </row>
    <row r="15" spans="1:4" ht="42" customHeight="1">
      <c r="A15" s="3474" t="str">
        <f>IF(项目基本情况!B8="抵押","（1）"&amp;CONCATENATE(项目基本情况!L20,项目基本情况!L21,项目基本情况!L22),"——")</f>
        <v>——</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案例</vt:lpstr>
      <vt:lpstr>比较法-楼房</vt:lpstr>
      <vt:lpstr>比较法-商业</vt:lpstr>
      <vt:lpstr>比较法-办公</vt:lpstr>
      <vt:lpstr>比较法-工业</vt:lpstr>
      <vt:lpstr>比较法-车位</vt:lpstr>
      <vt:lpstr>比较法-仓储</vt:lpstr>
      <vt:lpstr>土地比较法-住宅、综合</vt:lpstr>
      <vt:lpstr>土地比较法-工业</vt:lpstr>
      <vt:lpstr>比较法-平房</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'比较法-楼房'!Print_Area</vt:lpstr>
      <vt:lpstr>'比较法-平房'!Print_Area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'比较法-平房'!住宅朝向</vt:lpstr>
      <vt:lpstr>住宅朝向</vt:lpstr>
      <vt:lpstr>'比较法-平房'!住宅房型</vt:lpstr>
      <vt:lpstr>住宅房型</vt:lpstr>
      <vt:lpstr>'比较法-平房'!住宅公共部分装修</vt:lpstr>
      <vt:lpstr>住宅公共部分装修</vt:lpstr>
      <vt:lpstr>'比较法-平房'!住宅基础设施水平</vt:lpstr>
      <vt:lpstr>住宅基础设施水平</vt:lpstr>
      <vt:lpstr>'比较法-平房'!住宅建筑结构</vt:lpstr>
      <vt:lpstr>住宅建筑结构</vt:lpstr>
      <vt:lpstr>'比较法-平房'!住宅建筑类型</vt:lpstr>
      <vt:lpstr>住宅建筑类型</vt:lpstr>
      <vt:lpstr>'比较法-平房'!住宅建筑品质</vt:lpstr>
      <vt:lpstr>住宅建筑品质</vt:lpstr>
      <vt:lpstr>'比较法-平房'!住宅交易情况</vt:lpstr>
      <vt:lpstr>住宅交易情况</vt:lpstr>
      <vt:lpstr>'比较法-平房'!住宅楼层</vt:lpstr>
      <vt:lpstr>住宅楼层</vt:lpstr>
      <vt:lpstr>'比较法-平房'!住宅内部装修</vt:lpstr>
      <vt:lpstr>住宅内部装修</vt:lpstr>
      <vt:lpstr>'比较法-平房'!住宅物业管理</vt:lpstr>
      <vt:lpstr>住宅物业管理</vt:lpstr>
      <vt:lpstr>'比较法-平房'!住宅用途</vt:lpstr>
      <vt:lpstr>住宅用途</vt:lpstr>
      <vt:lpstr>'比较法-平房'!住宅主力户型面积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2023-05-31T10:30:34Z</dcterms:modified>
</cp:coreProperties>
</file>