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基准地价修正（地上2层）" sheetId="43" r:id="rId21"/>
    <sheet name="基准地价修正（地上1层）" sheetId="100" r:id="rId22"/>
    <sheet name="假设开发法" sheetId="12" r:id="rId23"/>
    <sheet name="比较法-办公" sheetId="34" state="hidden" r:id="rId24"/>
    <sheet name="比较法-办公已租" sheetId="86" state="hidden" r:id="rId25"/>
    <sheet name="典型户型修正-已租" sheetId="31" state="hidden" r:id="rId26"/>
    <sheet name="收益法-办公已租" sheetId="15" state="hidden" r:id="rId27"/>
    <sheet name="收益法-办公未租" sheetId="88" state="hidden" r:id="rId28"/>
    <sheet name="收益法 (元)" sheetId="67" state="hidden" r:id="rId29"/>
    <sheet name="比较法-办公租金" sheetId="83" state="hidden" r:id="rId30"/>
    <sheet name="结果表-办公" sheetId="93" state="hidden"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state="hidden" r:id="rId38"/>
    <sheet name="收益法-商业已租" sheetId="77" state="hidden"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r:id="rId48"/>
    <sheet name="容积率修正" sheetId="46" state="hidden" r:id="rId49"/>
    <sheet name="典型户型修正-租金" sheetId="95" state="hidden" r:id="rId50"/>
    <sheet name="收益法-车库" sheetId="78" r:id="rId51"/>
    <sheet name="基准地价（汇总）" sheetId="76" state="hidden" r:id="rId52"/>
    <sheet name="地价" sheetId="71" r:id="rId53"/>
    <sheet name="成本法（废）" sheetId="11" state="hidden" r:id="rId54"/>
    <sheet name="区片价" sheetId="44"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state="hidden"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50">'收益法-车库'!$A$1:$AK$69</definedName>
    <definedName name="_xlnm.Print_Area" localSheetId="38">'收益法-商业已租'!$A$1:$AK$69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Y7" i="1" l="1"/>
  <c r="F113" i="100" l="1"/>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s="1"/>
  <c r="D86" i="100"/>
  <c r="M85" i="100"/>
  <c r="N85" i="100" s="1"/>
  <c r="K85" i="100"/>
  <c r="J85" i="100" s="1"/>
  <c r="D85" i="100"/>
  <c r="M84" i="100"/>
  <c r="N84" i="100" s="1"/>
  <c r="K84" i="100"/>
  <c r="J84" i="100" s="1"/>
  <c r="D84" i="100"/>
  <c r="B84" i="100"/>
  <c r="M83" i="100"/>
  <c r="N83" i="100" s="1"/>
  <c r="K83" i="100"/>
  <c r="J83" i="100" s="1"/>
  <c r="D83" i="100"/>
  <c r="B83" i="100"/>
  <c r="M82" i="100"/>
  <c r="N82" i="100" s="1"/>
  <c r="K82" i="100"/>
  <c r="J82" i="100"/>
  <c r="D82" i="100"/>
  <c r="M81" i="100"/>
  <c r="N81" i="100" s="1"/>
  <c r="K81" i="100"/>
  <c r="J81" i="100" s="1"/>
  <c r="H81" i="100"/>
  <c r="F81" i="100"/>
  <c r="H88" i="100" s="1"/>
  <c r="D81" i="100"/>
  <c r="M78" i="100"/>
  <c r="N78" i="100" s="1"/>
  <c r="K78" i="100"/>
  <c r="J78" i="100" s="1"/>
  <c r="D78" i="100"/>
  <c r="M77" i="100"/>
  <c r="N77" i="100" s="1"/>
  <c r="K77" i="100"/>
  <c r="J77" i="100" s="1"/>
  <c r="D77" i="100"/>
  <c r="N76" i="100"/>
  <c r="M76" i="100"/>
  <c r="K76" i="100"/>
  <c r="J76" i="100" s="1"/>
  <c r="D76" i="100"/>
  <c r="N75" i="100"/>
  <c r="M75" i="100"/>
  <c r="K75" i="100"/>
  <c r="J75" i="100" s="1"/>
  <c r="D75" i="100"/>
  <c r="M74" i="100"/>
  <c r="N74" i="100" s="1"/>
  <c r="K74" i="100"/>
  <c r="J74" i="100" s="1"/>
  <c r="D74" i="100"/>
  <c r="N73" i="100"/>
  <c r="M73" i="100"/>
  <c r="K73" i="100"/>
  <c r="J73" i="100" s="1"/>
  <c r="D73" i="100"/>
  <c r="M72" i="100"/>
  <c r="N72" i="100" s="1"/>
  <c r="K72" i="100"/>
  <c r="J72" i="100" s="1"/>
  <c r="D72" i="100"/>
  <c r="B72" i="100"/>
  <c r="N71" i="100"/>
  <c r="M71" i="100"/>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M64" i="100"/>
  <c r="N64" i="100" s="1"/>
  <c r="K64" i="100"/>
  <c r="J64" i="100" s="1"/>
  <c r="D64" i="100"/>
  <c r="M63" i="100"/>
  <c r="N63" i="100" s="1"/>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c r="F59" i="100"/>
  <c r="H67" i="100" s="1"/>
  <c r="D59" i="100"/>
  <c r="M56" i="100"/>
  <c r="N56" i="100" s="1"/>
  <c r="K56" i="100"/>
  <c r="J56" i="100"/>
  <c r="D56" i="100"/>
  <c r="M55" i="100"/>
  <c r="N55" i="100" s="1"/>
  <c r="K55" i="100"/>
  <c r="J55" i="100" s="1"/>
  <c r="D55" i="100" s="1"/>
  <c r="M54" i="100"/>
  <c r="N54" i="100" s="1"/>
  <c r="K54" i="100"/>
  <c r="J54" i="100" s="1"/>
  <c r="D54" i="100" s="1"/>
  <c r="M53" i="100"/>
  <c r="N53" i="100" s="1"/>
  <c r="K53" i="100"/>
  <c r="J53" i="100" s="1"/>
  <c r="M52" i="100"/>
  <c r="N52" i="100" s="1"/>
  <c r="K52" i="100"/>
  <c r="J52" i="100" s="1"/>
  <c r="D52" i="100" s="1"/>
  <c r="M51" i="100"/>
  <c r="N51" i="100" s="1"/>
  <c r="K51" i="100"/>
  <c r="J51" i="100" s="1"/>
  <c r="M50" i="100"/>
  <c r="N50" i="100" s="1"/>
  <c r="K50" i="100"/>
  <c r="J50" i="100" s="1"/>
  <c r="B50" i="100"/>
  <c r="N49" i="100"/>
  <c r="M49" i="100"/>
  <c r="K49" i="100"/>
  <c r="J49" i="100" s="1"/>
  <c r="D49" i="100" s="1"/>
  <c r="M48" i="100"/>
  <c r="N48" i="100" s="1"/>
  <c r="K48" i="100"/>
  <c r="D48" i="100" s="1"/>
  <c r="B48" i="100"/>
  <c r="H38" i="100"/>
  <c r="H37" i="100"/>
  <c r="H36" i="100"/>
  <c r="H35" i="100"/>
  <c r="J20" i="100"/>
  <c r="I19" i="100"/>
  <c r="C18" i="100"/>
  <c r="F15" i="100"/>
  <c r="E15" i="100"/>
  <c r="D15" i="100"/>
  <c r="C12" i="100" s="1"/>
  <c r="C15" i="100"/>
  <c r="Y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M1" i="100" s="1"/>
  <c r="G2" i="100"/>
  <c r="X7" i="100" s="1"/>
  <c r="AN14" i="3"/>
  <c r="AL14" i="3"/>
  <c r="O14" i="3"/>
  <c r="I14" i="3"/>
  <c r="K31" i="84"/>
  <c r="D33" i="43" s="1"/>
  <c r="K28" i="84"/>
  <c r="U2" i="43" s="1"/>
  <c r="AF12" i="100" l="1"/>
  <c r="E81" i="100"/>
  <c r="B79" i="100" s="1"/>
  <c r="AB12" i="100"/>
  <c r="AJ12" i="100"/>
  <c r="J48" i="100"/>
  <c r="E59" i="100"/>
  <c r="B57" i="100" s="1"/>
  <c r="H70" i="100"/>
  <c r="M31" i="84"/>
  <c r="Z12" i="100"/>
  <c r="AH12" i="100"/>
  <c r="D33" i="100"/>
  <c r="H33" i="100" s="1"/>
  <c r="D50" i="100"/>
  <c r="D51" i="100"/>
  <c r="M28" i="84"/>
  <c r="AD12" i="100"/>
  <c r="D29"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H59" i="100"/>
  <c r="H61" i="100"/>
  <c r="H62" i="100"/>
  <c r="H65" i="100"/>
  <c r="H72" i="100"/>
  <c r="H74" i="100"/>
  <c r="H77" i="100"/>
  <c r="H83" i="100"/>
  <c r="H85" i="100"/>
  <c r="F108" i="100"/>
  <c r="F100" i="100"/>
  <c r="H108" i="100"/>
  <c r="H100" i="100"/>
  <c r="J108" i="100"/>
  <c r="J100" i="100"/>
  <c r="L108" i="100"/>
  <c r="L100" i="100"/>
  <c r="N108" i="100"/>
  <c r="N100" i="100"/>
  <c r="E48" i="100" l="1"/>
  <c r="B46" i="100" s="1"/>
  <c r="C24" i="100" s="1"/>
  <c r="C16" i="100"/>
  <c r="C5" i="100" s="1"/>
  <c r="D34" i="43"/>
  <c r="D34" i="100"/>
  <c r="H34" i="100" s="1"/>
  <c r="U3" i="43"/>
  <c r="D29" i="43"/>
  <c r="H56" i="100"/>
  <c r="H54" i="100"/>
  <c r="H51" i="100"/>
  <c r="H50" i="100"/>
  <c r="H48" i="100"/>
  <c r="H55" i="100"/>
  <c r="H53" i="100"/>
  <c r="H52" i="100"/>
  <c r="H49" i="100"/>
  <c r="G19" i="6"/>
  <c r="F19" i="6"/>
  <c r="B28" i="91"/>
  <c r="B27" i="91"/>
  <c r="B26" i="91"/>
  <c r="B25" i="91"/>
  <c r="A28" i="91"/>
  <c r="A27" i="91"/>
  <c r="A26" i="91"/>
  <c r="A25" i="91"/>
  <c r="A24" i="91"/>
  <c r="R16" i="82"/>
  <c r="E2" i="96"/>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6" i="95" s="1"/>
  <c r="F6" i="95" s="1"/>
  <c r="G6" i="95" s="1"/>
  <c r="H6" i="95" s="1"/>
  <c r="I6" i="95" s="1"/>
  <c r="J6" i="95" s="1"/>
  <c r="K6" i="95" s="1"/>
  <c r="L6" i="95" s="1"/>
  <c r="M6" i="95" s="1"/>
  <c r="N6" i="95" s="1"/>
  <c r="O6" i="95" s="1"/>
  <c r="P6" i="95" s="1"/>
  <c r="Q6" i="95" s="1"/>
  <c r="R6" i="95" s="1"/>
  <c r="S6" i="95" s="1"/>
  <c r="S2" i="95"/>
  <c r="R2" i="95"/>
  <c r="Q2" i="95"/>
  <c r="P2" i="95"/>
  <c r="O2" i="95"/>
  <c r="N2" i="95"/>
  <c r="M2" i="95"/>
  <c r="L2" i="95"/>
  <c r="K2" i="95"/>
  <c r="J2" i="95"/>
  <c r="I2" i="95"/>
  <c r="H2" i="95"/>
  <c r="G2" i="95"/>
  <c r="F2" i="95"/>
  <c r="E2" i="95"/>
  <c r="D2" i="95"/>
  <c r="C2" i="95"/>
  <c r="D5" i="100" l="1"/>
  <c r="B130" i="94"/>
  <c r="J46" i="94" s="1"/>
  <c r="AC46" i="94" s="1"/>
  <c r="B128" i="94"/>
  <c r="B126" i="94"/>
  <c r="H44" i="94" s="1"/>
  <c r="AB44" i="94" s="1"/>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H30" i="94" s="1"/>
  <c r="AB30" i="94" s="1"/>
  <c r="B94" i="94"/>
  <c r="H29" i="94" s="1"/>
  <c r="AB29" i="94" s="1"/>
  <c r="B92" i="94"/>
  <c r="F28" i="94" s="1"/>
  <c r="AA28" i="94" s="1"/>
  <c r="D91" i="94"/>
  <c r="E91" i="94" s="1"/>
  <c r="F91" i="94" s="1"/>
  <c r="G91" i="94" s="1"/>
  <c r="H91" i="94" s="1"/>
  <c r="I91" i="94" s="1"/>
  <c r="J91" i="94" s="1"/>
  <c r="K91" i="94" s="1"/>
  <c r="L91" i="94" s="1"/>
  <c r="M91" i="94" s="1"/>
  <c r="B90" i="94"/>
  <c r="H27" i="94" s="1"/>
  <c r="AB27" i="94" s="1"/>
  <c r="B88" i="94"/>
  <c r="H26" i="94" s="1"/>
  <c r="AB26" i="94" s="1"/>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J14" i="94" s="1"/>
  <c r="AC14" i="94" s="1"/>
  <c r="B72" i="94"/>
  <c r="J13" i="94" s="1"/>
  <c r="AC13" i="94" s="1"/>
  <c r="B70" i="94"/>
  <c r="F12" i="94" s="1"/>
  <c r="AA12" i="94" s="1"/>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J9" i="94" s="1"/>
  <c r="AC9" i="94" s="1"/>
  <c r="P49" i="94"/>
  <c r="P48" i="94"/>
  <c r="P47" i="94"/>
  <c r="Q46" i="94"/>
  <c r="Z46" i="94" s="1"/>
  <c r="H46" i="94"/>
  <c r="AB46" i="94" s="1"/>
  <c r="Q45" i="94"/>
  <c r="Z45" i="94" s="1"/>
  <c r="J45" i="94"/>
  <c r="AC45" i="94" s="1"/>
  <c r="H45" i="94"/>
  <c r="AB45" i="94" s="1"/>
  <c r="F45" i="94"/>
  <c r="AA45" i="94" s="1"/>
  <c r="Q44" i="94"/>
  <c r="Z44" i="94" s="1"/>
  <c r="J44" i="94"/>
  <c r="AC44" i="94" s="1"/>
  <c r="Q43" i="94"/>
  <c r="Z43" i="94" s="1"/>
  <c r="J43" i="94"/>
  <c r="AC43" i="94" s="1"/>
  <c r="Q42" i="94"/>
  <c r="Z42" i="94" s="1"/>
  <c r="H42" i="94"/>
  <c r="AB42" i="94" s="1"/>
  <c r="Q41" i="94"/>
  <c r="Z41" i="94" s="1"/>
  <c r="J41" i="94"/>
  <c r="AC41" i="94" s="1"/>
  <c r="H41" i="94"/>
  <c r="AB41" i="94" s="1"/>
  <c r="F41" i="94"/>
  <c r="AA41" i="94" s="1"/>
  <c r="Q40" i="94"/>
  <c r="Z40" i="94" s="1"/>
  <c r="J40" i="94"/>
  <c r="AC40" i="94" s="1"/>
  <c r="H40" i="94"/>
  <c r="AB40" i="94" s="1"/>
  <c r="F40" i="94"/>
  <c r="AA40" i="94" s="1"/>
  <c r="Q39" i="94"/>
  <c r="Z39" i="94" s="1"/>
  <c r="J39" i="94"/>
  <c r="AC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H34" i="94"/>
  <c r="AB34" i="94" s="1"/>
  <c r="Q33" i="94"/>
  <c r="Z33" i="94" s="1"/>
  <c r="C33" i="94"/>
  <c r="J33" i="94" s="1"/>
  <c r="Q32" i="94"/>
  <c r="Z32" i="94" s="1"/>
  <c r="Q31" i="94"/>
  <c r="Z31" i="94" s="1"/>
  <c r="J31" i="94"/>
  <c r="AC31" i="94" s="1"/>
  <c r="H31" i="94"/>
  <c r="AB31" i="94" s="1"/>
  <c r="F31" i="94"/>
  <c r="AA31" i="94" s="1"/>
  <c r="Q30" i="94"/>
  <c r="Z30" i="94" s="1"/>
  <c r="J30" i="94"/>
  <c r="AC30" i="94" s="1"/>
  <c r="Q29" i="94"/>
  <c r="Z29" i="94" s="1"/>
  <c r="J29" i="94"/>
  <c r="AC29" i="94" s="1"/>
  <c r="Q28" i="94"/>
  <c r="Z28" i="94" s="1"/>
  <c r="Q27" i="94"/>
  <c r="Z27" i="94" s="1"/>
  <c r="J27" i="94"/>
  <c r="AC27" i="94" s="1"/>
  <c r="Q26" i="94"/>
  <c r="Z26" i="94" s="1"/>
  <c r="J26" i="94"/>
  <c r="AC26" i="94" s="1"/>
  <c r="Q25" i="94"/>
  <c r="Z25" i="94" s="1"/>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F14" i="94"/>
  <c r="AA14" i="94" s="1"/>
  <c r="Q13" i="94"/>
  <c r="Z13" i="94" s="1"/>
  <c r="Q12" i="94"/>
  <c r="Z12" i="94" s="1"/>
  <c r="J12" i="94"/>
  <c r="AC12" i="94" s="1"/>
  <c r="Q11" i="94"/>
  <c r="Z11" i="94" s="1"/>
  <c r="J11" i="94"/>
  <c r="AC11" i="94" s="1"/>
  <c r="H11" i="94"/>
  <c r="AB11" i="94" s="1"/>
  <c r="F11" i="94"/>
  <c r="AA11" i="94" s="1"/>
  <c r="Q10" i="94"/>
  <c r="Z10" i="94" s="1"/>
  <c r="J10" i="94"/>
  <c r="AC10" i="94" s="1"/>
  <c r="H10" i="94"/>
  <c r="AB10" i="94" s="1"/>
  <c r="F10" i="94"/>
  <c r="AA10" i="94" s="1"/>
  <c r="Q9" i="94"/>
  <c r="Z9" i="94" s="1"/>
  <c r="F9" i="94"/>
  <c r="AA9" i="94" s="1"/>
  <c r="J8" i="94"/>
  <c r="W8" i="94" s="1"/>
  <c r="H8" i="94"/>
  <c r="AB8" i="94" s="1"/>
  <c r="F8" i="94"/>
  <c r="S8" i="94" s="1"/>
  <c r="D2" i="94"/>
  <c r="U8" i="94" l="1"/>
  <c r="H12" i="94"/>
  <c r="AB12" i="94" s="1"/>
  <c r="H25" i="94"/>
  <c r="H28" i="94"/>
  <c r="AB28" i="94" s="1"/>
  <c r="H32" i="94"/>
  <c r="AB32" i="94" s="1"/>
  <c r="J25" i="94"/>
  <c r="AC25" i="94" s="1"/>
  <c r="J28" i="94"/>
  <c r="AC28" i="94" s="1"/>
  <c r="J32" i="94"/>
  <c r="AC32" i="94" s="1"/>
  <c r="F34" i="94"/>
  <c r="AA34" i="94" s="1"/>
  <c r="F42" i="94"/>
  <c r="AA42" i="94" s="1"/>
  <c r="F46" i="94"/>
  <c r="AA46" i="94" s="1"/>
  <c r="F32" i="94"/>
  <c r="AA32" i="94" s="1"/>
  <c r="J34" i="94"/>
  <c r="AC34" i="94" s="1"/>
  <c r="J42" i="94"/>
  <c r="AC42" i="94" s="1"/>
  <c r="H9" i="94"/>
  <c r="AB9" i="94" s="1"/>
  <c r="F26" i="94"/>
  <c r="AA26" i="94" s="1"/>
  <c r="F27" i="94"/>
  <c r="AA27" i="94" s="1"/>
  <c r="F30" i="94"/>
  <c r="AA30" i="94" s="1"/>
  <c r="F39" i="94"/>
  <c r="AA39" i="94" s="1"/>
  <c r="F43" i="94"/>
  <c r="AA43" i="94" s="1"/>
  <c r="F44" i="94"/>
  <c r="AA44" i="94" s="1"/>
  <c r="F13" i="94"/>
  <c r="AA13" i="94" s="1"/>
  <c r="H13" i="94"/>
  <c r="AB13" i="94" s="1"/>
  <c r="H14" i="94"/>
  <c r="AB14" i="94" s="1"/>
  <c r="F29" i="94"/>
  <c r="AA29" i="94" s="1"/>
  <c r="H39" i="94"/>
  <c r="AB39" i="94" s="1"/>
  <c r="H43" i="94"/>
  <c r="AB43" i="94" s="1"/>
  <c r="U9" i="94"/>
  <c r="S10" i="94"/>
  <c r="W10" i="94"/>
  <c r="U11" i="94"/>
  <c r="S12" i="94"/>
  <c r="W12" i="94"/>
  <c r="S14" i="94"/>
  <c r="W14" i="94"/>
  <c r="S15" i="94"/>
  <c r="W15" i="94"/>
  <c r="S17" i="94"/>
  <c r="W17" i="94"/>
  <c r="S19" i="94"/>
  <c r="W19" i="94"/>
  <c r="S21" i="94"/>
  <c r="W21" i="94"/>
  <c r="S23" i="94"/>
  <c r="W23" i="94"/>
  <c r="AB25" i="94"/>
  <c r="U25" i="94"/>
  <c r="AA8" i="94"/>
  <c r="AC8" i="94"/>
  <c r="S9" i="94"/>
  <c r="W9" i="94"/>
  <c r="U10" i="94"/>
  <c r="S11" i="94"/>
  <c r="W11" i="94"/>
  <c r="W13" i="94"/>
  <c r="U15" i="94"/>
  <c r="U17" i="94"/>
  <c r="U19" i="94"/>
  <c r="U21" i="94"/>
  <c r="U23" i="94"/>
  <c r="AC33" i="94"/>
  <c r="W33" i="94"/>
  <c r="AC36" i="94"/>
  <c r="W36" i="94"/>
  <c r="S25" i="94"/>
  <c r="U26" i="94"/>
  <c r="W27" i="94"/>
  <c r="U28" i="94"/>
  <c r="W29" i="94"/>
  <c r="U30" i="94"/>
  <c r="S31" i="94"/>
  <c r="W31" i="94"/>
  <c r="U32" i="94"/>
  <c r="H33" i="94"/>
  <c r="S34" i="94"/>
  <c r="W34" i="94"/>
  <c r="U35" i="94"/>
  <c r="H36" i="94"/>
  <c r="S37" i="94"/>
  <c r="W37" i="94"/>
  <c r="U38" i="94"/>
  <c r="S39" i="94"/>
  <c r="W39" i="94"/>
  <c r="U40" i="94"/>
  <c r="S41" i="94"/>
  <c r="W41" i="94"/>
  <c r="U42"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S40" i="94"/>
  <c r="W40" i="94"/>
  <c r="U41" i="94"/>
  <c r="W44" i="94"/>
  <c r="U45" i="94"/>
  <c r="S46" i="94"/>
  <c r="W46" i="94"/>
  <c r="G54" i="94"/>
  <c r="H54" i="94" s="1"/>
  <c r="T47" i="94"/>
  <c r="C33" i="33"/>
  <c r="F70" i="15"/>
  <c r="F52" i="15"/>
  <c r="K8" i="85"/>
  <c r="K7" i="85"/>
  <c r="H3" i="85"/>
  <c r="I3" i="85" s="1"/>
  <c r="W42" i="94" l="1"/>
  <c r="W25" i="94"/>
  <c r="S13" i="94"/>
  <c r="S42" i="94"/>
  <c r="U39" i="94"/>
  <c r="U12" i="94"/>
  <c r="U43" i="94"/>
  <c r="I10" i="85"/>
  <c r="S27" i="94"/>
  <c r="S44" i="94"/>
  <c r="S43" i="94"/>
  <c r="S29" i="94"/>
  <c r="U14" i="94"/>
  <c r="U13" i="94"/>
  <c r="B24" i="95"/>
  <c r="B24" i="91"/>
  <c r="AA36" i="94"/>
  <c r="S36" i="94"/>
  <c r="AA33" i="94"/>
  <c r="S33" i="94"/>
  <c r="AB36" i="94"/>
  <c r="U36" i="94"/>
  <c r="AB33" i="94"/>
  <c r="U33" i="94"/>
  <c r="G10" i="85"/>
  <c r="C25" i="95" l="1"/>
  <c r="B22" i="95"/>
  <c r="C26" i="95"/>
  <c r="B131" i="92"/>
  <c r="B129" i="92"/>
  <c r="B127" i="92"/>
  <c r="J45" i="92" s="1"/>
  <c r="AC45" i="92" s="1"/>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E109" i="92"/>
  <c r="F109" i="92" s="1"/>
  <c r="G109" i="92" s="1"/>
  <c r="H109" i="92" s="1"/>
  <c r="I109" i="92" s="1"/>
  <c r="J109" i="92" s="1"/>
  <c r="K109" i="92" s="1"/>
  <c r="L109" i="92" s="1"/>
  <c r="M109" i="92" s="1"/>
  <c r="D109" i="92"/>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J32" i="92" s="1"/>
  <c r="AC32" i="92" s="1"/>
  <c r="B97" i="92"/>
  <c r="B95" i="92"/>
  <c r="B93" i="92"/>
  <c r="J29" i="92" s="1"/>
  <c r="AC29" i="92" s="1"/>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J27" i="92" s="1"/>
  <c r="AC27" i="92" s="1"/>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F13" i="92" s="1"/>
  <c r="AA13" i="92" s="1"/>
  <c r="B71" i="92"/>
  <c r="F12" i="92" s="1"/>
  <c r="AA12" i="92" s="1"/>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J47" i="92"/>
  <c r="AC47" i="92" s="1"/>
  <c r="H47" i="92"/>
  <c r="AB47" i="92" s="1"/>
  <c r="F47" i="92"/>
  <c r="AA47" i="92" s="1"/>
  <c r="Q46" i="92"/>
  <c r="Z46" i="92" s="1"/>
  <c r="J46" i="92"/>
  <c r="AC46" i="92" s="1"/>
  <c r="H46" i="92"/>
  <c r="AB46" i="92" s="1"/>
  <c r="F46" i="92"/>
  <c r="AA46" i="92" s="1"/>
  <c r="Q45" i="92"/>
  <c r="Z45" i="92" s="1"/>
  <c r="Q44" i="92"/>
  <c r="Z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Q34" i="92"/>
  <c r="Z34" i="92" s="1"/>
  <c r="C34" i="92"/>
  <c r="J34" i="92" s="1"/>
  <c r="Q33" i="92"/>
  <c r="Z33" i="92" s="1"/>
  <c r="J33" i="92"/>
  <c r="AC33" i="92" s="1"/>
  <c r="H33" i="92"/>
  <c r="AB33" i="92" s="1"/>
  <c r="F33" i="92"/>
  <c r="AA33" i="92" s="1"/>
  <c r="Q32" i="92"/>
  <c r="Z32" i="92" s="1"/>
  <c r="F32" i="92"/>
  <c r="AA32" i="92" s="1"/>
  <c r="Q31" i="92"/>
  <c r="Z31" i="92" s="1"/>
  <c r="J31" i="92"/>
  <c r="AC31" i="92" s="1"/>
  <c r="H31" i="92"/>
  <c r="AB31" i="92" s="1"/>
  <c r="F31" i="92"/>
  <c r="AA31" i="92" s="1"/>
  <c r="Q30" i="92"/>
  <c r="Z30" i="92" s="1"/>
  <c r="J30" i="92"/>
  <c r="W30" i="92" s="1"/>
  <c r="H30" i="92"/>
  <c r="AB30" i="92" s="1"/>
  <c r="F30" i="92"/>
  <c r="AA30" i="92" s="1"/>
  <c r="U29" i="92"/>
  <c r="Q29" i="92"/>
  <c r="Z29" i="92" s="1"/>
  <c r="H29" i="92"/>
  <c r="AB29" i="92" s="1"/>
  <c r="F29" i="92"/>
  <c r="AA29" i="92" s="1"/>
  <c r="Q28" i="92"/>
  <c r="Z28" i="92" s="1"/>
  <c r="J28" i="92"/>
  <c r="AC28" i="92" s="1"/>
  <c r="H28" i="92"/>
  <c r="F28" i="92"/>
  <c r="AA28" i="92" s="1"/>
  <c r="Q27" i="92"/>
  <c r="Z27" i="92" s="1"/>
  <c r="H27" i="92"/>
  <c r="AB27" i="92" s="1"/>
  <c r="F27" i="92"/>
  <c r="AA27" i="92" s="1"/>
  <c r="Q25" i="92"/>
  <c r="Z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Q12" i="92"/>
  <c r="Z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3" i="92"/>
  <c r="D2" i="92"/>
  <c r="H12" i="92" l="1"/>
  <c r="AB12" i="92" s="1"/>
  <c r="H45" i="92"/>
  <c r="AB45" i="92" s="1"/>
  <c r="F25" i="92"/>
  <c r="AA25" i="92" s="1"/>
  <c r="H40" i="92"/>
  <c r="AB40" i="92" s="1"/>
  <c r="F45" i="92"/>
  <c r="AA45" i="92" s="1"/>
  <c r="J12" i="92"/>
  <c r="AC12" i="92" s="1"/>
  <c r="H25" i="92"/>
  <c r="AB25" i="92" s="1"/>
  <c r="H32" i="92"/>
  <c r="AB32" i="92" s="1"/>
  <c r="H44" i="92"/>
  <c r="AB44" i="92" s="1"/>
  <c r="J25" i="92"/>
  <c r="AC25" i="92" s="1"/>
  <c r="J40" i="92"/>
  <c r="AC40" i="92" s="1"/>
  <c r="AC30" i="92"/>
  <c r="H35" i="92"/>
  <c r="AB35" i="92" s="1"/>
  <c r="F35" i="92"/>
  <c r="AA35" i="92" s="1"/>
  <c r="J44" i="92"/>
  <c r="AC44"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U27" i="92"/>
  <c r="S28" i="92"/>
  <c r="U31" i="92"/>
  <c r="S32" i="92"/>
  <c r="W32" i="92"/>
  <c r="U33" i="92"/>
  <c r="H34" i="92"/>
  <c r="W35" i="92"/>
  <c r="U36" i="92"/>
  <c r="H37" i="92"/>
  <c r="S38" i="92"/>
  <c r="W38" i="92"/>
  <c r="U39" i="92"/>
  <c r="S40" i="92"/>
  <c r="U41" i="92"/>
  <c r="S42" i="92"/>
  <c r="W42" i="92"/>
  <c r="U43" i="92"/>
  <c r="S44" i="92"/>
  <c r="U45" i="92"/>
  <c r="S46" i="92"/>
  <c r="W46" i="92"/>
  <c r="U47" i="92"/>
  <c r="I55" i="92"/>
  <c r="J55" i="92" s="1"/>
  <c r="R48" i="92"/>
  <c r="V48" i="92"/>
  <c r="S29" i="92"/>
  <c r="W29" i="92"/>
  <c r="U30" i="92"/>
  <c r="S31" i="92"/>
  <c r="W31" i="92"/>
  <c r="S33" i="92"/>
  <c r="W33" i="92"/>
  <c r="F34" i="92"/>
  <c r="S36" i="92"/>
  <c r="W36" i="92"/>
  <c r="F37" i="92"/>
  <c r="U38" i="92"/>
  <c r="S39" i="92"/>
  <c r="W39" i="92"/>
  <c r="U40" i="92"/>
  <c r="S41" i="92"/>
  <c r="W41" i="92"/>
  <c r="U42" i="92"/>
  <c r="S43" i="92"/>
  <c r="W43" i="92"/>
  <c r="U44" i="92"/>
  <c r="S45" i="92"/>
  <c r="W45" i="92"/>
  <c r="U46" i="92"/>
  <c r="S47" i="92"/>
  <c r="W47" i="92"/>
  <c r="G55" i="92"/>
  <c r="H55" i="92" s="1"/>
  <c r="T48" i="92"/>
  <c r="W25" i="92" l="1"/>
  <c r="W44" i="92"/>
  <c r="W40" i="92"/>
  <c r="S35" i="92"/>
  <c r="U35" i="92"/>
  <c r="U32" i="92"/>
  <c r="AB37" i="92"/>
  <c r="U37" i="92"/>
  <c r="AA37" i="92"/>
  <c r="S37" i="92"/>
  <c r="AA34" i="92"/>
  <c r="S34" i="92"/>
  <c r="AB34" i="92"/>
  <c r="U34" i="92"/>
  <c r="I48" i="86" l="1"/>
  <c r="G48" i="86"/>
  <c r="E48" i="86"/>
  <c r="M14" i="3" l="1"/>
  <c r="G20" i="6" s="1"/>
  <c r="K13" i="3"/>
  <c r="I13" i="3"/>
  <c r="D39" i="100" l="1"/>
  <c r="D39" i="43"/>
  <c r="E7" i="86"/>
  <c r="G7" i="86" s="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E6" i="91"/>
  <c r="F6" i="91" s="1"/>
  <c r="G6" i="91" s="1"/>
  <c r="H6" i="91" s="1"/>
  <c r="I6" i="91" s="1"/>
  <c r="J6" i="91" s="1"/>
  <c r="K6" i="91" s="1"/>
  <c r="L6" i="91" s="1"/>
  <c r="M6" i="91" s="1"/>
  <c r="N6" i="91" s="1"/>
  <c r="O6" i="91" s="1"/>
  <c r="P6" i="91" s="1"/>
  <c r="Q6" i="91" s="1"/>
  <c r="R6" i="91" s="1"/>
  <c r="S6" i="91" s="1"/>
  <c r="D6" i="91"/>
  <c r="S2" i="91"/>
  <c r="R2" i="91"/>
  <c r="Q2" i="91"/>
  <c r="P2" i="91"/>
  <c r="O2" i="91"/>
  <c r="N2" i="91"/>
  <c r="M2" i="91"/>
  <c r="L2" i="91"/>
  <c r="K2" i="91"/>
  <c r="J2" i="91"/>
  <c r="I2" i="91"/>
  <c r="H2" i="91"/>
  <c r="G2" i="91"/>
  <c r="F2" i="91"/>
  <c r="E2" i="91"/>
  <c r="D2" i="91"/>
  <c r="C2" i="91"/>
  <c r="A120" i="90"/>
  <c r="E111" i="90"/>
  <c r="E109" i="90"/>
  <c r="A124" i="90" s="1"/>
  <c r="E107" i="90"/>
  <c r="A122" i="90" s="1"/>
  <c r="H106" i="90"/>
  <c r="H105" i="90"/>
  <c r="H104" i="90"/>
  <c r="D101" i="90"/>
  <c r="C101" i="90"/>
  <c r="C91" i="90"/>
  <c r="E90" i="90"/>
  <c r="D89" i="90"/>
  <c r="C89" i="90" s="1"/>
  <c r="C87" i="90" s="1"/>
  <c r="H77" i="90"/>
  <c r="D77" i="90"/>
  <c r="C76" i="90"/>
  <c r="F59" i="90"/>
  <c r="E59" i="90"/>
  <c r="D59" i="90"/>
  <c r="F56" i="90"/>
  <c r="O55" i="90"/>
  <c r="N55" i="90"/>
  <c r="M55" i="90"/>
  <c r="K55" i="90"/>
  <c r="J55" i="90"/>
  <c r="I55" i="90"/>
  <c r="F55" i="90" s="1"/>
  <c r="O53" i="90" s="1"/>
  <c r="O54" i="90"/>
  <c r="N54" i="90"/>
  <c r="N53" i="90"/>
  <c r="K49" i="90"/>
  <c r="F48" i="90"/>
  <c r="O52" i="90" s="1"/>
  <c r="E48" i="90"/>
  <c r="N52" i="90" s="1"/>
  <c r="D48" i="90"/>
  <c r="M52" i="90" s="1"/>
  <c r="F33" i="90"/>
  <c r="B30" i="90"/>
  <c r="C25" i="90" s="1"/>
  <c r="D27" i="90"/>
  <c r="D30" i="90" s="1"/>
  <c r="D17" i="90"/>
  <c r="C17" i="90"/>
  <c r="L4" i="90"/>
  <c r="K4" i="90"/>
  <c r="H1" i="90"/>
  <c r="A120" i="89"/>
  <c r="H111" i="89"/>
  <c r="D126" i="89" s="1"/>
  <c r="D127" i="89" s="1"/>
  <c r="E111" i="89"/>
  <c r="A126" i="89" s="1"/>
  <c r="E109" i="89"/>
  <c r="A124" i="89" s="1"/>
  <c r="E107" i="89"/>
  <c r="A122" i="89" s="1"/>
  <c r="H106" i="89"/>
  <c r="H103" i="89" s="1"/>
  <c r="D120" i="89" s="1"/>
  <c r="H105" i="89"/>
  <c r="H104" i="89"/>
  <c r="D101" i="89"/>
  <c r="C101" i="89"/>
  <c r="C91" i="89"/>
  <c r="E90" i="89"/>
  <c r="D89" i="89"/>
  <c r="C89" i="89" s="1"/>
  <c r="C87" i="89" s="1"/>
  <c r="H77" i="89"/>
  <c r="D77" i="89"/>
  <c r="C76" i="89"/>
  <c r="F59" i="89"/>
  <c r="O55" i="89" s="1"/>
  <c r="E59" i="89"/>
  <c r="D59" i="89"/>
  <c r="F56" i="89"/>
  <c r="N55" i="89"/>
  <c r="M55" i="89"/>
  <c r="K55" i="89"/>
  <c r="J55" i="89"/>
  <c r="I55" i="89"/>
  <c r="F55" i="89" s="1"/>
  <c r="O53" i="89" s="1"/>
  <c r="O54" i="89"/>
  <c r="N54" i="89"/>
  <c r="N53" i="89"/>
  <c r="K49" i="89"/>
  <c r="F48" i="89"/>
  <c r="O52" i="89" s="1"/>
  <c r="E48" i="89"/>
  <c r="N52" i="89" s="1"/>
  <c r="D48" i="89"/>
  <c r="M52" i="89" s="1"/>
  <c r="F33" i="89"/>
  <c r="B30" i="89"/>
  <c r="C24" i="89" s="1"/>
  <c r="D27" i="89"/>
  <c r="D30" i="89" s="1"/>
  <c r="D17" i="89"/>
  <c r="C17" i="89"/>
  <c r="L4" i="89"/>
  <c r="K4" i="89"/>
  <c r="H1" i="89"/>
  <c r="Q72" i="88"/>
  <c r="Q59" i="88"/>
  <c r="K59" i="88"/>
  <c r="P74" i="88" s="1"/>
  <c r="Q58" i="88"/>
  <c r="Q51" i="88"/>
  <c r="J50" i="88"/>
  <c r="J51" i="88" s="1"/>
  <c r="M47" i="88"/>
  <c r="D46" i="88"/>
  <c r="F33" i="88"/>
  <c r="F61" i="88" s="1"/>
  <c r="F23" i="88"/>
  <c r="D23" i="88" s="1"/>
  <c r="F21" i="88"/>
  <c r="F20" i="88"/>
  <c r="M19" i="88"/>
  <c r="F18" i="88"/>
  <c r="F17" i="88"/>
  <c r="F15" i="88"/>
  <c r="B131" i="87"/>
  <c r="B129" i="87"/>
  <c r="J46" i="87" s="1"/>
  <c r="AC46" i="87" s="1"/>
  <c r="B127" i="87"/>
  <c r="D126" i="87"/>
  <c r="E124" i="87"/>
  <c r="F124" i="87" s="1"/>
  <c r="G124" i="87" s="1"/>
  <c r="H124" i="87" s="1"/>
  <c r="I124" i="87" s="1"/>
  <c r="J124" i="87" s="1"/>
  <c r="K124" i="87" s="1"/>
  <c r="L124" i="87" s="1"/>
  <c r="M124" i="87" s="1"/>
  <c r="D124" i="87"/>
  <c r="H43" i="87" s="1"/>
  <c r="AB43" i="87" s="1"/>
  <c r="D120" i="87"/>
  <c r="D118" i="87"/>
  <c r="E118" i="87" s="1"/>
  <c r="F118" i="87" s="1"/>
  <c r="G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2" i="87" s="1"/>
  <c r="H112" i="87" s="1"/>
  <c r="I112" i="87" s="1"/>
  <c r="J112" i="87" s="1"/>
  <c r="K112" i="87" s="1"/>
  <c r="L112" i="87" s="1"/>
  <c r="M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F32" i="87" s="1"/>
  <c r="AA32" i="87" s="1"/>
  <c r="B97" i="87"/>
  <c r="F31" i="87" s="1"/>
  <c r="AA31" i="87" s="1"/>
  <c r="B95" i="87"/>
  <c r="B93" i="87"/>
  <c r="F29" i="87" s="1"/>
  <c r="AA29" i="87" s="1"/>
  <c r="D92" i="87"/>
  <c r="E92" i="87" s="1"/>
  <c r="F92" i="87" s="1"/>
  <c r="G92" i="87" s="1"/>
  <c r="H92" i="87" s="1"/>
  <c r="I92" i="87" s="1"/>
  <c r="J92" i="87" s="1"/>
  <c r="K92" i="87" s="1"/>
  <c r="L92" i="87" s="1"/>
  <c r="M92" i="87" s="1"/>
  <c r="B91" i="87"/>
  <c r="F28" i="87" s="1"/>
  <c r="AA28" i="87" s="1"/>
  <c r="D90" i="87"/>
  <c r="E90" i="87" s="1"/>
  <c r="F90" i="87" s="1"/>
  <c r="G90" i="87" s="1"/>
  <c r="H90" i="87" s="1"/>
  <c r="I90" i="87" s="1"/>
  <c r="J90" i="87" s="1"/>
  <c r="K90" i="87" s="1"/>
  <c r="L90" i="87" s="1"/>
  <c r="M90" i="87" s="1"/>
  <c r="B89" i="87"/>
  <c r="F27" i="87" s="1"/>
  <c r="D88" i="87"/>
  <c r="H25" i="87" s="1"/>
  <c r="AB25" i="87" s="1"/>
  <c r="D86" i="87"/>
  <c r="E86" i="87" s="1"/>
  <c r="F23" i="87" s="1"/>
  <c r="AA23" i="87" s="1"/>
  <c r="D84" i="87"/>
  <c r="E84" i="87" s="1"/>
  <c r="F84" i="87" s="1"/>
  <c r="G84" i="87" s="1"/>
  <c r="D82" i="87"/>
  <c r="E82" i="87" s="1"/>
  <c r="F82" i="87" s="1"/>
  <c r="G82" i="87" s="1"/>
  <c r="D80" i="87"/>
  <c r="E80" i="87" s="1"/>
  <c r="F80" i="87" s="1"/>
  <c r="G80" i="87" s="1"/>
  <c r="D78" i="87"/>
  <c r="B75" i="87"/>
  <c r="B73" i="87"/>
  <c r="B71" i="87"/>
  <c r="J12" i="87" s="1"/>
  <c r="AC12" i="87" s="1"/>
  <c r="D70" i="87"/>
  <c r="E70" i="87" s="1"/>
  <c r="F70" i="87" s="1"/>
  <c r="G70" i="87" s="1"/>
  <c r="H70" i="87" s="1"/>
  <c r="I70" i="87" s="1"/>
  <c r="J70" i="87" s="1"/>
  <c r="K70" i="87" s="1"/>
  <c r="L70" i="87" s="1"/>
  <c r="M70" i="87" s="1"/>
  <c r="M68" i="87"/>
  <c r="L68" i="87"/>
  <c r="K68" i="87"/>
  <c r="J68" i="87"/>
  <c r="I68" i="87"/>
  <c r="H68" i="87"/>
  <c r="G68" i="87"/>
  <c r="F68" i="87"/>
  <c r="E68" i="87"/>
  <c r="D68" i="87"/>
  <c r="C68" i="87"/>
  <c r="F67" i="87"/>
  <c r="H10" i="87" s="1"/>
  <c r="AB10" i="87" s="1"/>
  <c r="C64" i="87"/>
  <c r="I55" i="87"/>
  <c r="J55" i="87" s="1"/>
  <c r="G55" i="87"/>
  <c r="H55" i="87" s="1"/>
  <c r="E55" i="87"/>
  <c r="F55" i="87" s="1"/>
  <c r="P50" i="87"/>
  <c r="P49" i="87"/>
  <c r="V48" i="87"/>
  <c r="T48" i="87"/>
  <c r="R48" i="87"/>
  <c r="P48" i="87"/>
  <c r="Q47" i="87"/>
  <c r="Z47" i="87" s="1"/>
  <c r="Q46" i="87"/>
  <c r="Z46" i="87" s="1"/>
  <c r="Q45" i="87"/>
  <c r="Z45" i="87" s="1"/>
  <c r="J45" i="87"/>
  <c r="AC45" i="87" s="1"/>
  <c r="H45" i="87"/>
  <c r="AB45" i="87" s="1"/>
  <c r="F45" i="87"/>
  <c r="AA45" i="87" s="1"/>
  <c r="Q44" i="87"/>
  <c r="Z44" i="87" s="1"/>
  <c r="Q43" i="87"/>
  <c r="Z43" i="87" s="1"/>
  <c r="J43" i="87"/>
  <c r="AC43" i="87" s="1"/>
  <c r="F43" i="87"/>
  <c r="AA43" i="87" s="1"/>
  <c r="Q42" i="87"/>
  <c r="Z42" i="87" s="1"/>
  <c r="J42" i="87"/>
  <c r="AC42" i="87" s="1"/>
  <c r="H42" i="87"/>
  <c r="AB42" i="87" s="1"/>
  <c r="F42" i="87"/>
  <c r="AA42" i="87" s="1"/>
  <c r="Q41" i="87"/>
  <c r="Z41" i="87" s="1"/>
  <c r="J41" i="87"/>
  <c r="AC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Q36" i="87"/>
  <c r="Z36" i="87" s="1"/>
  <c r="J36" i="87"/>
  <c r="AC36" i="87" s="1"/>
  <c r="H36" i="87"/>
  <c r="AB36" i="87" s="1"/>
  <c r="F36" i="87"/>
  <c r="AA36" i="87" s="1"/>
  <c r="Q35" i="87"/>
  <c r="Z35" i="87" s="1"/>
  <c r="H35" i="87"/>
  <c r="AB35" i="87" s="1"/>
  <c r="Q34" i="87"/>
  <c r="Z34" i="87" s="1"/>
  <c r="C34" i="87"/>
  <c r="H34" i="87" s="1"/>
  <c r="Q33" i="87"/>
  <c r="Z33" i="87" s="1"/>
  <c r="J33" i="87"/>
  <c r="AC33" i="87" s="1"/>
  <c r="H33" i="87"/>
  <c r="AB33" i="87" s="1"/>
  <c r="F33" i="87"/>
  <c r="AA33" i="87" s="1"/>
  <c r="Q32" i="87"/>
  <c r="Z32" i="87" s="1"/>
  <c r="H32" i="87"/>
  <c r="AB32" i="87" s="1"/>
  <c r="Q31" i="87"/>
  <c r="Z31" i="87" s="1"/>
  <c r="H31" i="87"/>
  <c r="AB31" i="87" s="1"/>
  <c r="Q30" i="87"/>
  <c r="Z30" i="87" s="1"/>
  <c r="J30" i="87"/>
  <c r="AC30" i="87" s="1"/>
  <c r="H30" i="87"/>
  <c r="AB30" i="87" s="1"/>
  <c r="F30" i="87"/>
  <c r="AA30" i="87" s="1"/>
  <c r="Q29" i="87"/>
  <c r="Z29" i="87" s="1"/>
  <c r="J29" i="87"/>
  <c r="AC29" i="87" s="1"/>
  <c r="Q28" i="87"/>
  <c r="Z28" i="87" s="1"/>
  <c r="J28" i="87"/>
  <c r="AC28" i="87" s="1"/>
  <c r="H28" i="87"/>
  <c r="AB28" i="87" s="1"/>
  <c r="Q27" i="87"/>
  <c r="Z27" i="87" s="1"/>
  <c r="J27" i="87"/>
  <c r="AC27" i="87" s="1"/>
  <c r="H27" i="87"/>
  <c r="AB27" i="87" s="1"/>
  <c r="Q25" i="87"/>
  <c r="Z25" i="87" s="1"/>
  <c r="Q23" i="87"/>
  <c r="Z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F12" i="87"/>
  <c r="AA12" i="87" s="1"/>
  <c r="Q11" i="87"/>
  <c r="Z11" i="87" s="1"/>
  <c r="J11" i="87"/>
  <c r="AC11" i="87" s="1"/>
  <c r="H11" i="87"/>
  <c r="AB11" i="87" s="1"/>
  <c r="F11" i="87"/>
  <c r="AA11" i="87" s="1"/>
  <c r="Q10" i="87"/>
  <c r="Z10" i="87" s="1"/>
  <c r="F10" i="87"/>
  <c r="AA10" i="87" s="1"/>
  <c r="Q9" i="87"/>
  <c r="Z9" i="87" s="1"/>
  <c r="J9" i="87"/>
  <c r="AC9" i="87" s="1"/>
  <c r="H9" i="87"/>
  <c r="AB9" i="87" s="1"/>
  <c r="F9" i="87"/>
  <c r="AA9" i="87" s="1"/>
  <c r="J8" i="87"/>
  <c r="W8" i="87" s="1"/>
  <c r="H8" i="87"/>
  <c r="AB8" i="87" s="1"/>
  <c r="F8" i="87"/>
  <c r="S8" i="87" s="1"/>
  <c r="B131" i="86"/>
  <c r="J47" i="86" s="1"/>
  <c r="AC47" i="86" s="1"/>
  <c r="B129" i="86"/>
  <c r="F46" i="86" s="1"/>
  <c r="AA46" i="86" s="1"/>
  <c r="B127" i="86"/>
  <c r="F45" i="86" s="1"/>
  <c r="AA45" i="86" s="1"/>
  <c r="E126" i="86"/>
  <c r="F126" i="86" s="1"/>
  <c r="G126" i="86" s="1"/>
  <c r="D126" i="86"/>
  <c r="F44" i="86" s="1"/>
  <c r="AA44" i="86" s="1"/>
  <c r="D124" i="86"/>
  <c r="D120" i="86"/>
  <c r="E120" i="86" s="1"/>
  <c r="F120" i="86" s="1"/>
  <c r="G120" i="86" s="1"/>
  <c r="H120" i="86" s="1"/>
  <c r="I120" i="86" s="1"/>
  <c r="J120" i="86" s="1"/>
  <c r="K120" i="86" s="1"/>
  <c r="L120" i="86" s="1"/>
  <c r="M120" i="86" s="1"/>
  <c r="D118" i="86"/>
  <c r="D116" i="86"/>
  <c r="E116" i="86" s="1"/>
  <c r="F116" i="86" s="1"/>
  <c r="G116" i="86" s="1"/>
  <c r="H116" i="86" s="1"/>
  <c r="I116" i="86" s="1"/>
  <c r="J116" i="86" s="1"/>
  <c r="K116" i="86" s="1"/>
  <c r="L116" i="86" s="1"/>
  <c r="M116" i="86" s="1"/>
  <c r="D114" i="86"/>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AC32" i="86" s="1"/>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D88" i="86"/>
  <c r="J25" i="86" s="1"/>
  <c r="AC25" i="86" s="1"/>
  <c r="D86" i="86"/>
  <c r="E86" i="86" s="1"/>
  <c r="E84" i="86"/>
  <c r="F84" i="86" s="1"/>
  <c r="G84" i="86" s="1"/>
  <c r="D84" i="86"/>
  <c r="D82" i="86"/>
  <c r="E82" i="86" s="1"/>
  <c r="F82" i="86" s="1"/>
  <c r="G82" i="86" s="1"/>
  <c r="E80" i="86"/>
  <c r="F80" i="86" s="1"/>
  <c r="G80" i="86" s="1"/>
  <c r="D80" i="86"/>
  <c r="D78" i="86"/>
  <c r="E78" i="86" s="1"/>
  <c r="F78" i="86" s="1"/>
  <c r="G78" i="86" s="1"/>
  <c r="B75" i="86"/>
  <c r="H14" i="86" s="1"/>
  <c r="AB14" i="86" s="1"/>
  <c r="B73" i="86"/>
  <c r="H13" i="86" s="1"/>
  <c r="AB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C64" i="86"/>
  <c r="H9" i="86" s="1"/>
  <c r="AB9" i="86" s="1"/>
  <c r="I55" i="86"/>
  <c r="J55" i="86" s="1"/>
  <c r="G55" i="86"/>
  <c r="H55" i="86" s="1"/>
  <c r="E55" i="86"/>
  <c r="F55" i="86" s="1"/>
  <c r="P50" i="86"/>
  <c r="P49" i="86"/>
  <c r="V48" i="86"/>
  <c r="T48" i="86"/>
  <c r="R48" i="86"/>
  <c r="P48" i="86"/>
  <c r="Q47" i="86"/>
  <c r="Z47" i="86" s="1"/>
  <c r="H47" i="86"/>
  <c r="AB47" i="86" s="1"/>
  <c r="F47" i="86"/>
  <c r="AA47" i="86" s="1"/>
  <c r="Q46" i="86"/>
  <c r="Z46" i="86" s="1"/>
  <c r="J46" i="86"/>
  <c r="AC46" i="86" s="1"/>
  <c r="H46" i="86"/>
  <c r="AB46" i="86" s="1"/>
  <c r="Q45" i="86"/>
  <c r="Z45" i="86" s="1"/>
  <c r="J45" i="86"/>
  <c r="AC45" i="86" s="1"/>
  <c r="Q44" i="86"/>
  <c r="Z44" i="86" s="1"/>
  <c r="J44" i="86"/>
  <c r="AC44" i="86" s="1"/>
  <c r="H44" i="86"/>
  <c r="AB44" i="86" s="1"/>
  <c r="Q43" i="86"/>
  <c r="Z43" i="86" s="1"/>
  <c r="J43" i="86"/>
  <c r="AC43" i="86" s="1"/>
  <c r="H43" i="86"/>
  <c r="AB43" i="86" s="1"/>
  <c r="Q42" i="86"/>
  <c r="Z42" i="86" s="1"/>
  <c r="J42" i="86"/>
  <c r="AC42" i="86" s="1"/>
  <c r="H42" i="86"/>
  <c r="AB42" i="86" s="1"/>
  <c r="F42" i="86"/>
  <c r="AA42" i="86" s="1"/>
  <c r="Q41" i="86"/>
  <c r="Z41" i="86" s="1"/>
  <c r="H41" i="86"/>
  <c r="AB41" i="86" s="1"/>
  <c r="F41" i="86"/>
  <c r="AA41" i="86" s="1"/>
  <c r="Q40" i="86"/>
  <c r="Z40" i="86" s="1"/>
  <c r="H40" i="86"/>
  <c r="AB40" i="86" s="1"/>
  <c r="Q39" i="86"/>
  <c r="Z39" i="86" s="1"/>
  <c r="J39" i="86"/>
  <c r="AC39" i="86" s="1"/>
  <c r="H39" i="86"/>
  <c r="AB39" i="86" s="1"/>
  <c r="F39" i="86"/>
  <c r="AA39" i="86" s="1"/>
  <c r="Q38" i="86"/>
  <c r="Z38" i="86" s="1"/>
  <c r="H38" i="86"/>
  <c r="AB38" i="86" s="1"/>
  <c r="Q37" i="86"/>
  <c r="Z37" i="86" s="1"/>
  <c r="C37" i="86"/>
  <c r="Q36" i="86"/>
  <c r="Z36" i="86" s="1"/>
  <c r="J36" i="86"/>
  <c r="AC36" i="86" s="1"/>
  <c r="H36" i="86"/>
  <c r="AB36" i="86" s="1"/>
  <c r="F36" i="86"/>
  <c r="AA36" i="86" s="1"/>
  <c r="Q35" i="86"/>
  <c r="Z35" i="86" s="1"/>
  <c r="Q34" i="86"/>
  <c r="Z34" i="86" s="1"/>
  <c r="C34" i="86"/>
  <c r="Q33" i="86"/>
  <c r="Z33" i="86" s="1"/>
  <c r="J33" i="86"/>
  <c r="AC33" i="86" s="1"/>
  <c r="H33" i="86"/>
  <c r="AB33" i="86" s="1"/>
  <c r="F33" i="86"/>
  <c r="AA33" i="86" s="1"/>
  <c r="Q32" i="86"/>
  <c r="Z32" i="86" s="1"/>
  <c r="H32" i="86"/>
  <c r="AB32" i="86" s="1"/>
  <c r="F32" i="86"/>
  <c r="AA32" i="86" s="1"/>
  <c r="Q31" i="86"/>
  <c r="Z31" i="86" s="1"/>
  <c r="Q30" i="86"/>
  <c r="Z30" i="86" s="1"/>
  <c r="F30" i="86"/>
  <c r="AA30" i="86" s="1"/>
  <c r="Q29" i="86"/>
  <c r="Z29" i="86" s="1"/>
  <c r="J29" i="86"/>
  <c r="AC29" i="86" s="1"/>
  <c r="H29" i="86"/>
  <c r="AB29" i="86" s="1"/>
  <c r="F29" i="86"/>
  <c r="AA29" i="86" s="1"/>
  <c r="Q28" i="86"/>
  <c r="Z28" i="86" s="1"/>
  <c r="Q27" i="86"/>
  <c r="Z27" i="86" s="1"/>
  <c r="H27" i="86"/>
  <c r="AB27" i="86" s="1"/>
  <c r="F27" i="86"/>
  <c r="AA27" i="86" s="1"/>
  <c r="Q25" i="86"/>
  <c r="Z25" i="86" s="1"/>
  <c r="Q23" i="86"/>
  <c r="Z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S17" i="86" s="1"/>
  <c r="C17" i="86"/>
  <c r="Q15" i="86"/>
  <c r="Z15" i="86" s="1"/>
  <c r="J15" i="86"/>
  <c r="AC15" i="86" s="1"/>
  <c r="H15" i="86"/>
  <c r="AB15" i="86" s="1"/>
  <c r="C15" i="86"/>
  <c r="Q14" i="86"/>
  <c r="Z14" i="86" s="1"/>
  <c r="J14" i="86"/>
  <c r="AC14" i="86" s="1"/>
  <c r="F14" i="86"/>
  <c r="AA14" i="86" s="1"/>
  <c r="Q13" i="86"/>
  <c r="Z13" i="86" s="1"/>
  <c r="Q12" i="86"/>
  <c r="Z12" i="86" s="1"/>
  <c r="J12" i="86"/>
  <c r="AC12" i="86" s="1"/>
  <c r="H12" i="86"/>
  <c r="AB12" i="86" s="1"/>
  <c r="F12" i="86"/>
  <c r="AA12" i="86" s="1"/>
  <c r="Q11" i="86"/>
  <c r="Z11" i="86" s="1"/>
  <c r="J11" i="86"/>
  <c r="AC11" i="86" s="1"/>
  <c r="H11" i="86"/>
  <c r="AB11" i="86" s="1"/>
  <c r="F11" i="86"/>
  <c r="AA11" i="86" s="1"/>
  <c r="Q10" i="86"/>
  <c r="Z10" i="86" s="1"/>
  <c r="J10" i="86"/>
  <c r="AC10" i="86" s="1"/>
  <c r="F10" i="86"/>
  <c r="AA10" i="86" s="1"/>
  <c r="Q9" i="86"/>
  <c r="Z9" i="86" s="1"/>
  <c r="J8" i="86"/>
  <c r="AC8" i="86" s="1"/>
  <c r="H8" i="86"/>
  <c r="AB8" i="86" s="1"/>
  <c r="F8" i="86"/>
  <c r="AA8" i="86" s="1"/>
  <c r="G37" i="83"/>
  <c r="C37" i="83"/>
  <c r="C34" i="83"/>
  <c r="C69" i="84"/>
  <c r="C41" i="84"/>
  <c r="D34" i="89"/>
  <c r="D2" i="87"/>
  <c r="C19" i="90"/>
  <c r="D19" i="90"/>
  <c r="D35" i="90"/>
  <c r="D19" i="89"/>
  <c r="C20" i="90"/>
  <c r="D34" i="90"/>
  <c r="D35" i="89"/>
  <c r="D20" i="90"/>
  <c r="C20" i="89"/>
  <c r="D20" i="89"/>
  <c r="D2" i="86"/>
  <c r="C19" i="89"/>
  <c r="U8" i="86" l="1"/>
  <c r="W19" i="86"/>
  <c r="J41" i="86"/>
  <c r="AC41" i="86" s="1"/>
  <c r="J9" i="86"/>
  <c r="AC9" i="86" s="1"/>
  <c r="H25" i="86"/>
  <c r="AB25" i="86" s="1"/>
  <c r="H45" i="86"/>
  <c r="AB45" i="86" s="1"/>
  <c r="J27" i="86"/>
  <c r="AC27" i="86" s="1"/>
  <c r="H29" i="87"/>
  <c r="AB29" i="87" s="1"/>
  <c r="F34" i="87"/>
  <c r="AA34" i="87" s="1"/>
  <c r="J35" i="87"/>
  <c r="AC35" i="87" s="1"/>
  <c r="C25" i="89"/>
  <c r="I7" i="86"/>
  <c r="J34" i="87"/>
  <c r="AC34" i="87" s="1"/>
  <c r="C30" i="89"/>
  <c r="C24" i="90"/>
  <c r="C18" i="89"/>
  <c r="D18" i="89" s="1"/>
  <c r="F86" i="86"/>
  <c r="G86" i="86" s="1"/>
  <c r="J23" i="86"/>
  <c r="AC23" i="86" s="1"/>
  <c r="E107" i="86"/>
  <c r="F107" i="86" s="1"/>
  <c r="G107" i="86" s="1"/>
  <c r="H107" i="86" s="1"/>
  <c r="I107" i="86" s="1"/>
  <c r="J107" i="86" s="1"/>
  <c r="K107" i="86" s="1"/>
  <c r="L107" i="86" s="1"/>
  <c r="M107" i="86" s="1"/>
  <c r="H35" i="86"/>
  <c r="AB35" i="86" s="1"/>
  <c r="J35" i="86"/>
  <c r="AC35" i="86" s="1"/>
  <c r="F40" i="86"/>
  <c r="AA40" i="86" s="1"/>
  <c r="E118" i="86"/>
  <c r="F118" i="86" s="1"/>
  <c r="G118" i="86" s="1"/>
  <c r="F47" i="87"/>
  <c r="AA47" i="87" s="1"/>
  <c r="H47" i="87"/>
  <c r="AB47" i="87" s="1"/>
  <c r="J28" i="86"/>
  <c r="AC28" i="86" s="1"/>
  <c r="H28" i="86"/>
  <c r="AB28" i="86" s="1"/>
  <c r="J31" i="86"/>
  <c r="AC31" i="86" s="1"/>
  <c r="H31" i="86"/>
  <c r="AB31" i="86" s="1"/>
  <c r="F38" i="86"/>
  <c r="AA38" i="86" s="1"/>
  <c r="E114" i="86"/>
  <c r="F114" i="86" s="1"/>
  <c r="G114" i="86" s="1"/>
  <c r="H114" i="86" s="1"/>
  <c r="I114" i="86" s="1"/>
  <c r="J114" i="86" s="1"/>
  <c r="K114" i="86" s="1"/>
  <c r="L114" i="86" s="1"/>
  <c r="M114" i="86" s="1"/>
  <c r="H12" i="87"/>
  <c r="AB12" i="87" s="1"/>
  <c r="J32" i="87"/>
  <c r="AC32" i="87" s="1"/>
  <c r="H44" i="87"/>
  <c r="AB44" i="87" s="1"/>
  <c r="E126" i="87"/>
  <c r="F126" i="87" s="1"/>
  <c r="G126" i="87" s="1"/>
  <c r="F44" i="87"/>
  <c r="AA44" i="87" s="1"/>
  <c r="J13" i="86"/>
  <c r="AC13" i="86" s="1"/>
  <c r="H23" i="86"/>
  <c r="AB23" i="86" s="1"/>
  <c r="F28" i="86"/>
  <c r="AA28" i="86" s="1"/>
  <c r="F31" i="86"/>
  <c r="AA31" i="86" s="1"/>
  <c r="J38" i="86"/>
  <c r="AC38" i="86" s="1"/>
  <c r="H10" i="86"/>
  <c r="AB10" i="86" s="1"/>
  <c r="G67" i="86"/>
  <c r="H67" i="86" s="1"/>
  <c r="I67" i="86" s="1"/>
  <c r="E88" i="86"/>
  <c r="F88" i="86" s="1"/>
  <c r="G88" i="86" s="1"/>
  <c r="J31" i="87"/>
  <c r="AC31" i="87" s="1"/>
  <c r="F41" i="87"/>
  <c r="AA41" i="87" s="1"/>
  <c r="H41" i="87"/>
  <c r="AB41" i="87" s="1"/>
  <c r="E120" i="87"/>
  <c r="F120" i="87" s="1"/>
  <c r="G120" i="87" s="1"/>
  <c r="H120" i="87" s="1"/>
  <c r="I120" i="87" s="1"/>
  <c r="J120" i="87" s="1"/>
  <c r="K120" i="87" s="1"/>
  <c r="L120" i="87" s="1"/>
  <c r="M120" i="87" s="1"/>
  <c r="H112" i="90"/>
  <c r="A126" i="90"/>
  <c r="H111" i="90"/>
  <c r="D126" i="90" s="1"/>
  <c r="D127" i="90" s="1"/>
  <c r="F23" i="86"/>
  <c r="AA23" i="86" s="1"/>
  <c r="F35" i="86"/>
  <c r="AA35" i="86" s="1"/>
  <c r="F9" i="86"/>
  <c r="AA9" i="86" s="1"/>
  <c r="H34" i="86"/>
  <c r="F34" i="86"/>
  <c r="AA34" i="86" s="1"/>
  <c r="J34" i="86"/>
  <c r="AC34" i="86" s="1"/>
  <c r="J37" i="86"/>
  <c r="AC37" i="86" s="1"/>
  <c r="F43" i="86"/>
  <c r="AA43" i="86" s="1"/>
  <c r="E124" i="86"/>
  <c r="F124" i="86" s="1"/>
  <c r="G124" i="86" s="1"/>
  <c r="H124" i="86" s="1"/>
  <c r="I124" i="86" s="1"/>
  <c r="J124" i="86" s="1"/>
  <c r="K124" i="86" s="1"/>
  <c r="L124" i="86" s="1"/>
  <c r="M124" i="86" s="1"/>
  <c r="J44" i="87"/>
  <c r="AC44" i="87" s="1"/>
  <c r="J47" i="87"/>
  <c r="AC47" i="87" s="1"/>
  <c r="G67" i="87"/>
  <c r="H67" i="87" s="1"/>
  <c r="I67" i="87" s="1"/>
  <c r="J10" i="87"/>
  <c r="AC10" i="87" s="1"/>
  <c r="E78" i="87"/>
  <c r="F78" i="87" s="1"/>
  <c r="G78" i="87" s="1"/>
  <c r="J15" i="87"/>
  <c r="AC15" i="87" s="1"/>
  <c r="H15" i="87"/>
  <c r="AB15" i="87" s="1"/>
  <c r="F86" i="87"/>
  <c r="G86" i="87" s="1"/>
  <c r="J23" i="87"/>
  <c r="H23" i="87"/>
  <c r="AB23" i="87" s="1"/>
  <c r="H46" i="87"/>
  <c r="AB46" i="87" s="1"/>
  <c r="F46" i="87"/>
  <c r="AA46" i="87" s="1"/>
  <c r="J30" i="86"/>
  <c r="AC30" i="86" s="1"/>
  <c r="H30" i="86"/>
  <c r="AB30" i="86" s="1"/>
  <c r="E88" i="87"/>
  <c r="F88" i="87" s="1"/>
  <c r="G88" i="87" s="1"/>
  <c r="F25" i="87"/>
  <c r="AA25" i="87" s="1"/>
  <c r="F13" i="86"/>
  <c r="AA13" i="86" s="1"/>
  <c r="J40" i="86"/>
  <c r="AC40" i="86" s="1"/>
  <c r="H103" i="90"/>
  <c r="D120" i="90" s="1"/>
  <c r="F15" i="86"/>
  <c r="AA15" i="86" s="1"/>
  <c r="F35" i="87"/>
  <c r="AA35" i="87" s="1"/>
  <c r="J37" i="87"/>
  <c r="AC37" i="87" s="1"/>
  <c r="C18" i="90"/>
  <c r="D18" i="90" s="1"/>
  <c r="C30" i="90"/>
  <c r="H39" i="100"/>
  <c r="D1" i="100"/>
  <c r="F37" i="86"/>
  <c r="AA37" i="86" s="1"/>
  <c r="H37" i="86"/>
  <c r="AB37" i="86" s="1"/>
  <c r="F37" i="87"/>
  <c r="AA37" i="87" s="1"/>
  <c r="H37" i="87"/>
  <c r="AB37" i="87" s="1"/>
  <c r="D102" i="90"/>
  <c r="C103" i="90"/>
  <c r="C102" i="90"/>
  <c r="D22" i="90"/>
  <c r="G19" i="90"/>
  <c r="D103" i="90"/>
  <c r="K120" i="90"/>
  <c r="D121" i="90"/>
  <c r="C92" i="90"/>
  <c r="C94" i="90"/>
  <c r="H109" i="90"/>
  <c r="D102" i="89"/>
  <c r="C103" i="89"/>
  <c r="G20" i="89"/>
  <c r="C102" i="89"/>
  <c r="G19" i="89"/>
  <c r="D22" i="89"/>
  <c r="D103" i="89"/>
  <c r="C92" i="89"/>
  <c r="C94" i="89"/>
  <c r="K120" i="89"/>
  <c r="D121" i="89"/>
  <c r="H109" i="89"/>
  <c r="H112" i="89"/>
  <c r="D24" i="88"/>
  <c r="P61" i="88"/>
  <c r="D22" i="88"/>
  <c r="U8" i="87"/>
  <c r="AA8" i="87"/>
  <c r="AC8" i="87"/>
  <c r="U9" i="87"/>
  <c r="S10" i="87"/>
  <c r="U11" i="87"/>
  <c r="S12" i="87"/>
  <c r="W12" i="87"/>
  <c r="U13" i="87"/>
  <c r="S14" i="87"/>
  <c r="W14" i="87"/>
  <c r="S15" i="87"/>
  <c r="S17" i="87"/>
  <c r="W17" i="87"/>
  <c r="S19" i="87"/>
  <c r="W19" i="87"/>
  <c r="S21" i="87"/>
  <c r="W21" i="87"/>
  <c r="S23" i="87"/>
  <c r="U25" i="87"/>
  <c r="S9" i="87"/>
  <c r="W9" i="87"/>
  <c r="U10" i="87"/>
  <c r="S11" i="87"/>
  <c r="W11" i="87"/>
  <c r="S13" i="87"/>
  <c r="W13" i="87"/>
  <c r="U14" i="87"/>
  <c r="U15" i="87"/>
  <c r="U17" i="87"/>
  <c r="U19" i="87"/>
  <c r="U21" i="87"/>
  <c r="U23" i="87"/>
  <c r="AA27" i="87"/>
  <c r="S27" i="87"/>
  <c r="AB34" i="87"/>
  <c r="U34" i="87"/>
  <c r="W27" i="87"/>
  <c r="U28" i="87"/>
  <c r="S29" i="87"/>
  <c r="W29" i="87"/>
  <c r="U30" i="87"/>
  <c r="S31" i="87"/>
  <c r="U32" i="87"/>
  <c r="S33" i="87"/>
  <c r="W33" i="87"/>
  <c r="S34" i="87"/>
  <c r="W34" i="87"/>
  <c r="U35" i="87"/>
  <c r="S36" i="87"/>
  <c r="W36" i="87"/>
  <c r="S38" i="87"/>
  <c r="W38" i="87"/>
  <c r="U39" i="87"/>
  <c r="S40" i="87"/>
  <c r="W40" i="87"/>
  <c r="U41" i="87"/>
  <c r="S42" i="87"/>
  <c r="W42" i="87"/>
  <c r="U43" i="87"/>
  <c r="S44" i="87"/>
  <c r="U45" i="87"/>
  <c r="S46" i="87"/>
  <c r="W46" i="87"/>
  <c r="U47" i="87"/>
  <c r="U27" i="87"/>
  <c r="S28" i="87"/>
  <c r="W28" i="87"/>
  <c r="U29" i="87"/>
  <c r="S30" i="87"/>
  <c r="W30" i="87"/>
  <c r="U31" i="87"/>
  <c r="S32" i="87"/>
  <c r="U33" i="87"/>
  <c r="W35" i="87"/>
  <c r="U36" i="87"/>
  <c r="U38" i="87"/>
  <c r="S39" i="87"/>
  <c r="W39" i="87"/>
  <c r="U40" i="87"/>
  <c r="S41" i="87"/>
  <c r="W41" i="87"/>
  <c r="U42" i="87"/>
  <c r="S43" i="87"/>
  <c r="W43" i="87"/>
  <c r="U44" i="87"/>
  <c r="S45" i="87"/>
  <c r="W45" i="87"/>
  <c r="U46" i="87"/>
  <c r="W47" i="87"/>
  <c r="S8" i="86"/>
  <c r="W8" i="86"/>
  <c r="W9" i="86"/>
  <c r="U10" i="86"/>
  <c r="S11" i="86"/>
  <c r="W11" i="86"/>
  <c r="U12" i="86"/>
  <c r="S13" i="86"/>
  <c r="W13" i="86"/>
  <c r="U14" i="86"/>
  <c r="U15" i="86"/>
  <c r="U17" i="86"/>
  <c r="AA17" i="86"/>
  <c r="S21" i="86"/>
  <c r="U9" i="86"/>
  <c r="S10" i="86"/>
  <c r="W10" i="86"/>
  <c r="U11" i="86"/>
  <c r="S12" i="86"/>
  <c r="W12" i="86"/>
  <c r="U13" i="86"/>
  <c r="S14" i="86"/>
  <c r="W14" i="86"/>
  <c r="W15" i="86"/>
  <c r="W17" i="86"/>
  <c r="S19" i="86"/>
  <c r="W21" i="86"/>
  <c r="AB34" i="86"/>
  <c r="U34" i="86"/>
  <c r="U19" i="86"/>
  <c r="U21" i="86"/>
  <c r="U23" i="86"/>
  <c r="W25" i="86"/>
  <c r="U27" i="86"/>
  <c r="S28" i="86"/>
  <c r="W28" i="86"/>
  <c r="U29" i="86"/>
  <c r="S30" i="86"/>
  <c r="S32" i="86"/>
  <c r="W32" i="86"/>
  <c r="U33" i="86"/>
  <c r="W35" i="86"/>
  <c r="U36" i="86"/>
  <c r="U38" i="86"/>
  <c r="S39" i="86"/>
  <c r="W39" i="86"/>
  <c r="U40" i="86"/>
  <c r="S41" i="86"/>
  <c r="W41" i="86"/>
  <c r="U42" i="86"/>
  <c r="S43" i="86"/>
  <c r="W43" i="86"/>
  <c r="U44" i="86"/>
  <c r="S45" i="86"/>
  <c r="W45" i="86"/>
  <c r="S46" i="86"/>
  <c r="S23" i="86"/>
  <c r="W23" i="86"/>
  <c r="U25" i="86"/>
  <c r="S27" i="86"/>
  <c r="W27" i="86"/>
  <c r="U28" i="86"/>
  <c r="S29" i="86"/>
  <c r="W29" i="86"/>
  <c r="U32" i="86"/>
  <c r="S33" i="86"/>
  <c r="W33" i="86"/>
  <c r="S34" i="86"/>
  <c r="W34" i="86"/>
  <c r="U35" i="86"/>
  <c r="S36" i="86"/>
  <c r="W36" i="86"/>
  <c r="S38" i="86"/>
  <c r="W38" i="86"/>
  <c r="U39" i="86"/>
  <c r="S40" i="86"/>
  <c r="W40" i="86"/>
  <c r="U41" i="86"/>
  <c r="S42" i="86"/>
  <c r="W42" i="86"/>
  <c r="U43" i="86"/>
  <c r="S44" i="86"/>
  <c r="W44" i="86"/>
  <c r="U45" i="86"/>
  <c r="W46" i="86"/>
  <c r="U47" i="86"/>
  <c r="U46" i="86"/>
  <c r="S47" i="86"/>
  <c r="W47" i="86"/>
  <c r="C28" i="84"/>
  <c r="C70" i="84" s="1"/>
  <c r="U30" i="86" l="1"/>
  <c r="S35" i="86"/>
  <c r="W37" i="87"/>
  <c r="U31" i="86"/>
  <c r="U37" i="87"/>
  <c r="S37" i="87"/>
  <c r="W32" i="87"/>
  <c r="W31" i="87"/>
  <c r="H88" i="86"/>
  <c r="I88" i="86" s="1"/>
  <c r="J88" i="86" s="1"/>
  <c r="K88" i="86" s="1"/>
  <c r="L88" i="86" s="1"/>
  <c r="M88" i="86" s="1"/>
  <c r="F25" i="86"/>
  <c r="AC23" i="87"/>
  <c r="W23" i="87"/>
  <c r="U37" i="86"/>
  <c r="W37" i="86"/>
  <c r="S15" i="86"/>
  <c r="S47" i="87"/>
  <c r="U12" i="87"/>
  <c r="W31" i="86"/>
  <c r="W30" i="86"/>
  <c r="S35" i="87"/>
  <c r="S25" i="87"/>
  <c r="S31" i="86"/>
  <c r="S9" i="86"/>
  <c r="W44" i="87"/>
  <c r="W15" i="87"/>
  <c r="W10" i="87"/>
  <c r="G20" i="90"/>
  <c r="H88" i="87"/>
  <c r="I88" i="87" s="1"/>
  <c r="J88" i="87" s="1"/>
  <c r="K88" i="87" s="1"/>
  <c r="L88" i="87" s="1"/>
  <c r="M88" i="87" s="1"/>
  <c r="J25" i="87"/>
  <c r="S37" i="86"/>
  <c r="C32" i="90"/>
  <c r="D124" i="90"/>
  <c r="D125" i="90" s="1"/>
  <c r="H110" i="90"/>
  <c r="D124" i="89"/>
  <c r="D125" i="89" s="1"/>
  <c r="H110" i="89"/>
  <c r="C32" i="89"/>
  <c r="AA25" i="86" l="1"/>
  <c r="S25" i="86"/>
  <c r="AC25" i="87"/>
  <c r="W25" i="87"/>
  <c r="C35" i="90"/>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B127" i="83"/>
  <c r="J45" i="83" s="1"/>
  <c r="AC45" i="83" s="1"/>
  <c r="D126" i="83"/>
  <c r="E126" i="83" s="1"/>
  <c r="F126" i="83" s="1"/>
  <c r="G126" i="83" s="1"/>
  <c r="D124" i="83"/>
  <c r="J43" i="83" s="1"/>
  <c r="AC43"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J38" i="83" s="1"/>
  <c r="AC38" i="83" s="1"/>
  <c r="D112" i="83"/>
  <c r="E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F45" i="83"/>
  <c r="S45" i="83" s="1"/>
  <c r="Q44" i="83"/>
  <c r="Z44" i="83" s="1"/>
  <c r="J44" i="83"/>
  <c r="AC44" i="83" s="1"/>
  <c r="H44" i="83"/>
  <c r="AB44" i="83" s="1"/>
  <c r="F44" i="83"/>
  <c r="AA44" i="83" s="1"/>
  <c r="Q43" i="83"/>
  <c r="Z43" i="83" s="1"/>
  <c r="F43" i="83"/>
  <c r="AA43" i="83" s="1"/>
  <c r="Q42" i="83"/>
  <c r="Z42" i="83" s="1"/>
  <c r="J42" i="83"/>
  <c r="AC42" i="83" s="1"/>
  <c r="H42" i="83"/>
  <c r="AB42" i="83" s="1"/>
  <c r="F42" i="83"/>
  <c r="AA42" i="83" s="1"/>
  <c r="Q41" i="83"/>
  <c r="Z41" i="83" s="1"/>
  <c r="J41" i="83"/>
  <c r="AC41" i="83" s="1"/>
  <c r="H41" i="83"/>
  <c r="AB41" i="83" s="1"/>
  <c r="F41" i="83"/>
  <c r="AA41" i="83" s="1"/>
  <c r="Q40" i="83"/>
  <c r="Z40" i="83" s="1"/>
  <c r="F40" i="83"/>
  <c r="AA40" i="83" s="1"/>
  <c r="Q39" i="83"/>
  <c r="Z39" i="83" s="1"/>
  <c r="J39" i="83"/>
  <c r="AC39" i="83" s="1"/>
  <c r="H39" i="83"/>
  <c r="AB39" i="83" s="1"/>
  <c r="F39" i="83"/>
  <c r="AA39" i="83" s="1"/>
  <c r="Q38" i="83"/>
  <c r="Z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F112" i="83" l="1"/>
  <c r="J12" i="83"/>
  <c r="AC12" i="83" s="1"/>
  <c r="H25" i="83"/>
  <c r="AB25" i="83" s="1"/>
  <c r="J25" i="83"/>
  <c r="AC25" i="83" s="1"/>
  <c r="J31" i="83"/>
  <c r="AC31" i="83" s="1"/>
  <c r="J40" i="83"/>
  <c r="AC40" i="83" s="1"/>
  <c r="H38" i="83"/>
  <c r="AB38" i="83" s="1"/>
  <c r="H40" i="83"/>
  <c r="AB40" i="83" s="1"/>
  <c r="H43" i="83"/>
  <c r="AB43" i="83" s="1"/>
  <c r="H45" i="83"/>
  <c r="AB45" i="83" s="1"/>
  <c r="E114" i="83"/>
  <c r="F114" i="83" s="1"/>
  <c r="G114" i="83" s="1"/>
  <c r="H114" i="83" s="1"/>
  <c r="I114" i="83" s="1"/>
  <c r="J114" i="83" s="1"/>
  <c r="K114" i="83" s="1"/>
  <c r="L114" i="83" s="1"/>
  <c r="M114" i="83" s="1"/>
  <c r="E124" i="83"/>
  <c r="F124" i="83" s="1"/>
  <c r="G124" i="83" s="1"/>
  <c r="H124" i="83" s="1"/>
  <c r="I124" i="83" s="1"/>
  <c r="J124" i="83" s="1"/>
  <c r="K124" i="83" s="1"/>
  <c r="L124" i="83" s="1"/>
  <c r="M124" i="83" s="1"/>
  <c r="AA45" i="83"/>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S38" i="83"/>
  <c r="W38" i="83"/>
  <c r="U39" i="83"/>
  <c r="S40" i="83"/>
  <c r="W40" i="83"/>
  <c r="U41" i="83"/>
  <c r="S42" i="83"/>
  <c r="W42" i="83"/>
  <c r="S44" i="83"/>
  <c r="W44" i="83"/>
  <c r="U45" i="83"/>
  <c r="W19" i="83"/>
  <c r="S21" i="83"/>
  <c r="W21" i="83"/>
  <c r="S23" i="83"/>
  <c r="W23" i="83"/>
  <c r="S27" i="83"/>
  <c r="W27" i="83"/>
  <c r="U28" i="83"/>
  <c r="S29" i="83"/>
  <c r="W29" i="83"/>
  <c r="U30" i="83"/>
  <c r="S31" i="83"/>
  <c r="U32" i="83"/>
  <c r="S33" i="83"/>
  <c r="W33" i="83"/>
  <c r="U34" i="83"/>
  <c r="S35" i="83"/>
  <c r="W35" i="83"/>
  <c r="U36" i="83"/>
  <c r="S39" i="83"/>
  <c r="W39" i="83"/>
  <c r="S41" i="83"/>
  <c r="W41" i="83"/>
  <c r="U42" i="83"/>
  <c r="S43" i="83"/>
  <c r="W43" i="83"/>
  <c r="U44" i="83"/>
  <c r="W45" i="83"/>
  <c r="S46" i="83"/>
  <c r="W46" i="83"/>
  <c r="U47" i="83"/>
  <c r="U46" i="83"/>
  <c r="S47" i="83"/>
  <c r="W47" i="83"/>
  <c r="E2" i="93"/>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B63" i="82" s="1"/>
  <c r="S11" i="82"/>
  <c r="V11" i="82" s="1"/>
  <c r="S10" i="82"/>
  <c r="V10" i="82" s="1"/>
  <c r="P10" i="82"/>
  <c r="P12" i="82" s="1"/>
  <c r="S9" i="82"/>
  <c r="V9" i="82" s="1"/>
  <c r="S8" i="82"/>
  <c r="V8" i="82" s="1"/>
  <c r="S7" i="82"/>
  <c r="V7" i="82" s="1"/>
  <c r="S6" i="82"/>
  <c r="V6" i="82" s="1"/>
  <c r="S5" i="82"/>
  <c r="U5" i="82" s="1"/>
  <c r="S4" i="82"/>
  <c r="V4" i="82" s="1"/>
  <c r="K59" i="82" l="1"/>
  <c r="B62" i="82" s="1"/>
  <c r="B64" i="82" s="1"/>
  <c r="V5" i="82"/>
  <c r="U9" i="82"/>
  <c r="U38" i="83"/>
  <c r="O15" i="82"/>
  <c r="V12" i="82"/>
  <c r="U11" i="82"/>
  <c r="U7" i="82"/>
  <c r="U40" i="83"/>
  <c r="R15" i="82"/>
  <c r="O16" i="82"/>
  <c r="U10" i="82"/>
  <c r="U6" i="82"/>
  <c r="W31" i="83"/>
  <c r="U25" i="83"/>
  <c r="U43" i="83"/>
  <c r="U8" i="82"/>
  <c r="U4" i="82"/>
  <c r="G112" i="83"/>
  <c r="J37" i="83"/>
  <c r="C4" i="81"/>
  <c r="J3" i="81"/>
  <c r="G8" i="81"/>
  <c r="D4" i="81"/>
  <c r="C3" i="81"/>
  <c r="D3" i="81" s="1"/>
  <c r="C7" i="81"/>
  <c r="C6" i="81"/>
  <c r="D6" i="81" s="1"/>
  <c r="B5" i="81"/>
  <c r="D5" i="81" s="1"/>
  <c r="B7" i="81"/>
  <c r="A6" i="79"/>
  <c r="D18" i="80"/>
  <c r="E18" i="80" s="1"/>
  <c r="R16" i="80"/>
  <c r="P14" i="80"/>
  <c r="O14" i="80"/>
  <c r="N14" i="80"/>
  <c r="M14" i="80"/>
  <c r="L14" i="80"/>
  <c r="K14" i="80"/>
  <c r="J14" i="80"/>
  <c r="I14" i="80"/>
  <c r="H14" i="80"/>
  <c r="G14" i="80"/>
  <c r="F14" i="80"/>
  <c r="E14" i="80"/>
  <c r="D14" i="80"/>
  <c r="C14" i="80"/>
  <c r="B14" i="80"/>
  <c r="C12" i="80"/>
  <c r="D12" i="80" s="1"/>
  <c r="E12" i="80" s="1"/>
  <c r="P11" i="80"/>
  <c r="O11" i="80"/>
  <c r="N11" i="80"/>
  <c r="M11" i="80"/>
  <c r="L11" i="80"/>
  <c r="K11" i="80"/>
  <c r="J11" i="80"/>
  <c r="I11" i="80"/>
  <c r="H11" i="80"/>
  <c r="G11" i="80"/>
  <c r="F11" i="80"/>
  <c r="E11" i="80"/>
  <c r="D11" i="80"/>
  <c r="C11" i="80"/>
  <c r="B11" i="80"/>
  <c r="B10" i="80" s="1"/>
  <c r="C8" i="80"/>
  <c r="D8" i="80" s="1"/>
  <c r="P7" i="80"/>
  <c r="O7" i="80"/>
  <c r="N7" i="80"/>
  <c r="M7" i="80"/>
  <c r="L7" i="80"/>
  <c r="K7" i="80"/>
  <c r="J7" i="80"/>
  <c r="I7" i="80"/>
  <c r="H7" i="80"/>
  <c r="G7" i="80"/>
  <c r="F7" i="80"/>
  <c r="E7" i="80"/>
  <c r="D7" i="80"/>
  <c r="C7" i="80"/>
  <c r="C6" i="80" s="1"/>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D7" i="81" l="1"/>
  <c r="D10" i="80"/>
  <c r="H112" i="83"/>
  <c r="I112" i="83" s="1"/>
  <c r="J112" i="83" s="1"/>
  <c r="K112" i="83" s="1"/>
  <c r="L112" i="83" s="1"/>
  <c r="M112" i="83" s="1"/>
  <c r="H37" i="83"/>
  <c r="F37" i="83"/>
  <c r="C10" i="80"/>
  <c r="Q14" i="80"/>
  <c r="AC37" i="83"/>
  <c r="W37" i="83"/>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AA37" i="83" l="1"/>
  <c r="S37" i="83"/>
  <c r="AB37" i="83"/>
  <c r="U37" i="83"/>
  <c r="B4" i="80"/>
  <c r="G12" i="80"/>
  <c r="F10" i="80"/>
  <c r="F8" i="80"/>
  <c r="E6" i="80"/>
  <c r="Q18" i="80"/>
  <c r="E5" i="80" l="1"/>
  <c r="F6" i="80"/>
  <c r="F5" i="80" s="1"/>
  <c r="F4" i="80" s="1"/>
  <c r="G8" i="80"/>
  <c r="G10" i="80"/>
  <c r="H12" i="80"/>
  <c r="I5" i="71"/>
  <c r="I4" i="71" s="1"/>
  <c r="N4" i="71" s="1"/>
  <c r="L5" i="71"/>
  <c r="K5" i="71"/>
  <c r="J5" i="71"/>
  <c r="N5" i="71" l="1"/>
  <c r="P5" i="71"/>
  <c r="K4" i="71"/>
  <c r="P4" i="71" s="1"/>
  <c r="Q5" i="71"/>
  <c r="L4" i="71"/>
  <c r="Q4" i="71" s="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12" i="76"/>
  <c r="B7" i="76"/>
  <c r="B9" i="76"/>
  <c r="B13" i="76"/>
  <c r="E7" i="76"/>
  <c r="E11" i="76"/>
  <c r="B8" i="76"/>
  <c r="B10" i="76"/>
  <c r="E8" i="76"/>
  <c r="E9" i="76"/>
  <c r="B12" i="76"/>
  <c r="E13" i="76"/>
  <c r="B11" i="76"/>
  <c r="E10" i="76"/>
  <c r="P5" i="80" l="1"/>
  <c r="Q6" i="80"/>
  <c r="C76" i="9"/>
  <c r="P4" i="80" l="1"/>
  <c r="Q4" i="80" s="1"/>
  <c r="Q5" i="80"/>
  <c r="I107" i="40"/>
  <c r="K6" i="4" l="1"/>
  <c r="M56" i="90" l="1"/>
  <c r="J56" i="89"/>
  <c r="J57" i="89" s="1"/>
  <c r="J59" i="89" s="1"/>
  <c r="J61" i="89" s="1"/>
  <c r="K56" i="90"/>
  <c r="N56" i="89"/>
  <c r="N56" i="90"/>
  <c r="K56" i="89"/>
  <c r="M56" i="89"/>
  <c r="J56" i="90"/>
  <c r="J57" i="90" s="1"/>
  <c r="J59" i="90" s="1"/>
  <c r="J61" i="90"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3" i="73"/>
  <c r="F6" i="73"/>
  <c r="F4" i="73"/>
  <c r="D5" i="73"/>
  <c r="I1" i="73" l="1"/>
  <c r="B39" i="1" s="1"/>
  <c r="D6" i="73"/>
  <c r="D4" i="73"/>
  <c r="D3" i="73"/>
  <c r="D7"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N16" i="71"/>
  <c r="Q15" i="71"/>
  <c r="P15" i="71"/>
  <c r="O15" i="71"/>
  <c r="Y15" i="71" s="1"/>
  <c r="Z15" i="71" s="1"/>
  <c r="N15" i="71"/>
  <c r="Q14" i="71"/>
  <c r="P14" i="71"/>
  <c r="O14" i="71"/>
  <c r="Y14" i="71" s="1"/>
  <c r="Z14" i="71" s="1"/>
  <c r="N14" i="71"/>
  <c r="F14" i="71"/>
  <c r="F15" i="71" s="1"/>
  <c r="F16" i="71" s="1"/>
  <c r="V16" i="71" s="1"/>
  <c r="Q13" i="71"/>
  <c r="P13" i="71"/>
  <c r="O13" i="71"/>
  <c r="N13" i="71"/>
  <c r="D13" i="71"/>
  <c r="Q12" i="71"/>
  <c r="AB12" i="71" s="1"/>
  <c r="P12" i="71"/>
  <c r="O12" i="71"/>
  <c r="N12" i="71"/>
  <c r="Q11" i="71"/>
  <c r="AB11" i="71" s="1"/>
  <c r="P11" i="71"/>
  <c r="O11" i="71"/>
  <c r="N11" i="71"/>
  <c r="Q10" i="71"/>
  <c r="AB10" i="71" s="1"/>
  <c r="P10" i="71"/>
  <c r="O10" i="71"/>
  <c r="N10" i="71"/>
  <c r="F10" i="71"/>
  <c r="Q9" i="71"/>
  <c r="P9" i="71"/>
  <c r="O9" i="71"/>
  <c r="N9" i="71"/>
  <c r="D9" i="71"/>
  <c r="O8" i="71"/>
  <c r="N8" i="71"/>
  <c r="F11" i="71" l="1"/>
  <c r="F12" i="71" s="1"/>
  <c r="V12" i="71" s="1"/>
  <c r="B35" i="71"/>
  <c r="B36" i="71" s="1"/>
  <c r="S36" i="71" s="1"/>
  <c r="B55" i="71"/>
  <c r="B54" i="71" s="1"/>
  <c r="Y16" i="71"/>
  <c r="Z16" i="71" s="1"/>
  <c r="E23" i="71"/>
  <c r="E24" i="71" s="1"/>
  <c r="U24" i="71" s="1"/>
  <c r="B51" i="71"/>
  <c r="B50" i="71" s="1"/>
  <c r="B47" i="71"/>
  <c r="Y10" i="71"/>
  <c r="Z10" i="71" s="1"/>
  <c r="Y11" i="71"/>
  <c r="Z11" i="71" s="1"/>
  <c r="Y12" i="71"/>
  <c r="Z12" i="71" s="1"/>
  <c r="AB14" i="71"/>
  <c r="AB15" i="71"/>
  <c r="AB16" i="71"/>
  <c r="B23" i="71"/>
  <c r="B24" i="71" s="1"/>
  <c r="S24" i="71" s="1"/>
  <c r="E27" i="71"/>
  <c r="E28" i="71" s="1"/>
  <c r="U28"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D18"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C19"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1" i="1"/>
  <c r="AO12" i="1"/>
  <c r="AO13" i="1"/>
  <c r="AO10" i="1"/>
  <c r="B86" i="43" l="1"/>
  <c r="B86" i="100"/>
  <c r="B75" i="100"/>
  <c r="B55" i="100"/>
  <c r="B6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A24" i="3" s="1"/>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94" s="1"/>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AZ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F32" i="40" s="1"/>
  <c r="S32" i="40" s="1"/>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H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F38" i="37" s="1"/>
  <c r="S38" i="37" s="1"/>
  <c r="C23" i="37"/>
  <c r="C19" i="37"/>
  <c r="C17" i="37"/>
  <c r="C15" i="37"/>
  <c r="B112" i="37"/>
  <c r="H40" i="37" s="1"/>
  <c r="U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AB26" i="37" s="1"/>
  <c r="D79" i="37"/>
  <c r="E79" i="37" s="1"/>
  <c r="D75" i="37"/>
  <c r="E75" i="37" s="1"/>
  <c r="D73" i="37"/>
  <c r="E73" i="37" s="1"/>
  <c r="F73" i="37" s="1"/>
  <c r="D71" i="37"/>
  <c r="E71" i="37" s="1"/>
  <c r="F71" i="37" s="1"/>
  <c r="G71" i="37" s="1"/>
  <c r="H15" i="37"/>
  <c r="AB15" i="37" s="1"/>
  <c r="B68" i="37"/>
  <c r="H14" i="37" s="1"/>
  <c r="B66" i="37"/>
  <c r="H13" i="37" s="1"/>
  <c r="AB13" i="37" s="1"/>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H12" i="36" s="1"/>
  <c r="U12" i="36" s="1"/>
  <c r="J12" i="36"/>
  <c r="AC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H35" i="35" s="1"/>
  <c r="AB35" i="35" s="1"/>
  <c r="B97" i="35"/>
  <c r="H34" i="35" s="1"/>
  <c r="AB34" i="35" s="1"/>
  <c r="B77" i="35"/>
  <c r="F25" i="35" s="1"/>
  <c r="S25" i="35" s="1"/>
  <c r="B75" i="35"/>
  <c r="J24" i="35" s="1"/>
  <c r="AC24" i="35" s="1"/>
  <c r="B73" i="35"/>
  <c r="H23" i="35" s="1"/>
  <c r="U23" i="35" s="1"/>
  <c r="B57" i="35"/>
  <c r="B61" i="35"/>
  <c r="F13" i="35" s="1"/>
  <c r="S13" i="35" s="1"/>
  <c r="B59" i="35"/>
  <c r="B131" i="34"/>
  <c r="F47" i="34" s="1"/>
  <c r="S47" i="34" s="1"/>
  <c r="B129" i="34"/>
  <c r="J46" i="34" s="1"/>
  <c r="B127" i="34"/>
  <c r="F45" i="34" s="1"/>
  <c r="S45" i="34" s="1"/>
  <c r="B99" i="34"/>
  <c r="B97" i="34"/>
  <c r="H31" i="34" s="1"/>
  <c r="B95" i="34"/>
  <c r="H30" i="34" s="1"/>
  <c r="B93" i="34"/>
  <c r="J29" i="34" s="1"/>
  <c r="B75" i="34"/>
  <c r="B73" i="34"/>
  <c r="F13" i="34" s="1"/>
  <c r="AA13" i="34" s="1"/>
  <c r="B71" i="34"/>
  <c r="B130" i="33"/>
  <c r="H46" i="33" s="1"/>
  <c r="AB46" i="33" s="1"/>
  <c r="B128" i="33"/>
  <c r="B126" i="33"/>
  <c r="J44" i="33" s="1"/>
  <c r="AC44" i="33" s="1"/>
  <c r="B98" i="33"/>
  <c r="H31" i="33" s="1"/>
  <c r="B96" i="33"/>
  <c r="H30" i="33" s="1"/>
  <c r="AB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H9" i="34"/>
  <c r="F9" i="34"/>
  <c r="J8" i="34"/>
  <c r="AC8" i="34" s="1"/>
  <c r="H8" i="34"/>
  <c r="U8" i="34" s="1"/>
  <c r="F8" i="34"/>
  <c r="D121" i="33"/>
  <c r="E121" i="33" s="1"/>
  <c r="F109" i="33"/>
  <c r="E109" i="33"/>
  <c r="D109" i="33"/>
  <c r="C109" i="33"/>
  <c r="D91" i="33"/>
  <c r="E91" i="33" s="1"/>
  <c r="B88" i="33"/>
  <c r="J26" i="33" s="1"/>
  <c r="C23" i="33"/>
  <c r="C19" i="33"/>
  <c r="C17" i="33"/>
  <c r="C15" i="33"/>
  <c r="C15" i="21"/>
  <c r="D125" i="33"/>
  <c r="F43" i="33" s="1"/>
  <c r="AA43" i="33" s="1"/>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25" i="39" s="1"/>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F44" i="21" s="1"/>
  <c r="AA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H36" i="39"/>
  <c r="AB36" i="39" s="1"/>
  <c r="J35" i="39"/>
  <c r="AC35" i="39" s="1"/>
  <c r="F35" i="39"/>
  <c r="AA35" i="39" s="1"/>
  <c r="U9" i="39"/>
  <c r="W40" i="39"/>
  <c r="W31" i="37"/>
  <c r="F39" i="37"/>
  <c r="S39" i="37" s="1"/>
  <c r="F29" i="36"/>
  <c r="AA29" i="36" s="1"/>
  <c r="F16" i="36"/>
  <c r="AA16" i="36" s="1"/>
  <c r="S30" i="36"/>
  <c r="U31" i="36"/>
  <c r="H22" i="35"/>
  <c r="AB22" i="35" s="1"/>
  <c r="AC27" i="35"/>
  <c r="W28" i="35"/>
  <c r="U31" i="35"/>
  <c r="W22" i="35"/>
  <c r="F36" i="34"/>
  <c r="J35" i="34"/>
  <c r="W9" i="34"/>
  <c r="U34" i="34"/>
  <c r="H39" i="33"/>
  <c r="AB39" i="33" s="1"/>
  <c r="F26" i="33"/>
  <c r="AA26" i="33" s="1"/>
  <c r="S40" i="33"/>
  <c r="S27" i="35"/>
  <c r="F11" i="40"/>
  <c r="AA11" i="40" s="1"/>
  <c r="H11" i="40"/>
  <c r="AB11" i="40" s="1"/>
  <c r="W8" i="40"/>
  <c r="AA9" i="40"/>
  <c r="U9" i="40"/>
  <c r="S34" i="40"/>
  <c r="S38" i="40"/>
  <c r="F42" i="39"/>
  <c r="AA42" i="39" s="1"/>
  <c r="F41" i="39"/>
  <c r="S41" i="39" s="1"/>
  <c r="H40" i="39"/>
  <c r="AB40" i="39" s="1"/>
  <c r="H39" i="39"/>
  <c r="U39" i="39" s="1"/>
  <c r="S34" i="39"/>
  <c r="H34" i="39"/>
  <c r="U34" i="39" s="1"/>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S34" i="21"/>
  <c r="C21" i="39"/>
  <c r="H11" i="39"/>
  <c r="H11" i="21"/>
  <c r="J11" i="21"/>
  <c r="W11" i="21" s="1"/>
  <c r="H37" i="40"/>
  <c r="U37" i="40" s="1"/>
  <c r="H36" i="40"/>
  <c r="AB36" i="40" s="1"/>
  <c r="F35" i="40"/>
  <c r="AA35" i="40" s="1"/>
  <c r="H23" i="40"/>
  <c r="AB23" i="40" s="1"/>
  <c r="H17" i="40"/>
  <c r="U17" i="40" s="1"/>
  <c r="J15" i="40"/>
  <c r="W15" i="40" s="1"/>
  <c r="J11" i="40"/>
  <c r="AB12" i="35"/>
  <c r="J34" i="36"/>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J15" i="34"/>
  <c r="H15" i="34"/>
  <c r="AB15" i="34" s="1"/>
  <c r="W8" i="34"/>
  <c r="E113" i="33"/>
  <c r="F113" i="33" s="1"/>
  <c r="G113" i="33" s="1"/>
  <c r="H113" i="33" s="1"/>
  <c r="I113" i="33" s="1"/>
  <c r="J113" i="33" s="1"/>
  <c r="K113" i="33" s="1"/>
  <c r="L113" i="33" s="1"/>
  <c r="M113" i="33" s="1"/>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H37" i="33"/>
  <c r="AB37" i="33" s="1"/>
  <c r="H15" i="33"/>
  <c r="AB15" i="33" s="1"/>
  <c r="H11" i="33"/>
  <c r="AB11" i="33" s="1"/>
  <c r="F28" i="40"/>
  <c r="AA28" i="40" s="1"/>
  <c r="AA42"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F28" i="21"/>
  <c r="AA28"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45" i="21"/>
  <c r="AA45" i="21" s="1"/>
  <c r="J13" i="33"/>
  <c r="H13" i="33"/>
  <c r="F13" i="33"/>
  <c r="S13" i="33" s="1"/>
  <c r="J29" i="33"/>
  <c r="AC29" i="33" s="1"/>
  <c r="H29" i="33"/>
  <c r="U29" i="33" s="1"/>
  <c r="F29" i="33"/>
  <c r="S29" i="33" s="1"/>
  <c r="J31" i="33"/>
  <c r="W31" i="33" s="1"/>
  <c r="F31" i="33"/>
  <c r="H45" i="33"/>
  <c r="J45" i="33"/>
  <c r="W45" i="33" s="1"/>
  <c r="F45" i="33"/>
  <c r="AA45" i="33" s="1"/>
  <c r="J14" i="34"/>
  <c r="W14" i="34" s="1"/>
  <c r="F14" i="34"/>
  <c r="S14" i="34" s="1"/>
  <c r="H14" i="34"/>
  <c r="F30" i="34"/>
  <c r="S30" i="34" s="1"/>
  <c r="J30" i="34"/>
  <c r="W30" i="34" s="1"/>
  <c r="H32" i="34"/>
  <c r="F32" i="34"/>
  <c r="J32" i="34"/>
  <c r="W32" i="34" s="1"/>
  <c r="H46" i="34"/>
  <c r="F46" i="34"/>
  <c r="H11" i="35"/>
  <c r="U11" i="35" s="1"/>
  <c r="J11" i="35"/>
  <c r="AC11" i="35" s="1"/>
  <c r="F11" i="35"/>
  <c r="S11" i="35" s="1"/>
  <c r="J26" i="36"/>
  <c r="W26" i="36" s="1"/>
  <c r="H28" i="36"/>
  <c r="U28" i="36" s="1"/>
  <c r="H32" i="36"/>
  <c r="AB32" i="36" s="1"/>
  <c r="J11" i="36"/>
  <c r="AC11" i="36" s="1"/>
  <c r="H11" i="36"/>
  <c r="U11" i="36" s="1"/>
  <c r="F11" i="36"/>
  <c r="AA11" i="36" s="1"/>
  <c r="J29" i="37"/>
  <c r="W29" i="37" s="1"/>
  <c r="F29" i="37"/>
  <c r="S29" i="37" s="1"/>
  <c r="H36" i="37"/>
  <c r="AB36" i="37" s="1"/>
  <c r="F107" i="37"/>
  <c r="G107" i="37" s="1"/>
  <c r="H107" i="37" s="1"/>
  <c r="I107" i="37" s="1"/>
  <c r="J107" i="37" s="1"/>
  <c r="K107" i="37" s="1"/>
  <c r="L107" i="37" s="1"/>
  <c r="M107" i="37" s="1"/>
  <c r="J37" i="37"/>
  <c r="AC37" i="37" s="1"/>
  <c r="H37" i="37"/>
  <c r="U37" i="37" s="1"/>
  <c r="F40" i="37"/>
  <c r="AA40" i="37" s="1"/>
  <c r="J14" i="33"/>
  <c r="J30" i="33"/>
  <c r="F44" i="33"/>
  <c r="S44" i="33" s="1"/>
  <c r="F46" i="33"/>
  <c r="AA46" i="33"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13" i="37"/>
  <c r="S13" i="37" s="1"/>
  <c r="F28" i="37"/>
  <c r="AA28" i="37" s="1"/>
  <c r="J28" i="37"/>
  <c r="AC28" i="37" s="1"/>
  <c r="H28" i="37"/>
  <c r="U2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3" i="39"/>
  <c r="J13" i="39"/>
  <c r="W13" i="39" s="1"/>
  <c r="H14" i="40"/>
  <c r="AB14" i="40" s="1"/>
  <c r="J14" i="40"/>
  <c r="W14" i="40" s="1"/>
  <c r="F14" i="40"/>
  <c r="AA14" i="40" s="1"/>
  <c r="J27" i="37"/>
  <c r="AC27" i="37" s="1"/>
  <c r="U46" i="33"/>
  <c r="J36" i="37"/>
  <c r="AC36" i="37" s="1"/>
  <c r="J10" i="36"/>
  <c r="AC10" i="36" s="1"/>
  <c r="AA14" i="34"/>
  <c r="S45" i="33"/>
  <c r="AB31" i="33"/>
  <c r="U31" i="33"/>
  <c r="W29" i="33"/>
  <c r="F17" i="21"/>
  <c r="AA17" i="21" s="1"/>
  <c r="H17" i="21"/>
  <c r="AB17" i="21" s="1"/>
  <c r="F15" i="21"/>
  <c r="S15" i="21" s="1"/>
  <c r="J41" i="39"/>
  <c r="W41" i="39" s="1"/>
  <c r="AC45" i="39"/>
  <c r="W35" i="39"/>
  <c r="S35" i="39"/>
  <c r="G540" i="3"/>
  <c r="G528" i="3"/>
  <c r="G514" i="3"/>
  <c r="G510" i="3"/>
  <c r="G500" i="3"/>
  <c r="G580" i="3"/>
  <c r="G564" i="3"/>
  <c r="G560" i="3"/>
  <c r="BL580" i="3"/>
  <c r="BL576" i="3"/>
  <c r="BL546" i="3"/>
  <c r="BL526" i="3"/>
  <c r="BL502" i="3"/>
  <c r="BL578" i="3"/>
  <c r="BL570" i="3"/>
  <c r="BL544" i="3"/>
  <c r="G529" i="3"/>
  <c r="BL510" i="3"/>
  <c r="G493" i="3"/>
  <c r="BA584" i="3"/>
  <c r="BA578" i="3"/>
  <c r="AZ578" i="3" s="1"/>
  <c r="BA566" i="3"/>
  <c r="BA552" i="3"/>
  <c r="BA542" i="3"/>
  <c r="BA534" i="3"/>
  <c r="BA522" i="3"/>
  <c r="BA514" i="3"/>
  <c r="BA579" i="3"/>
  <c r="BA577" i="3"/>
  <c r="BA569" i="3"/>
  <c r="BA561" i="3"/>
  <c r="BA549" i="3"/>
  <c r="BA541" i="3"/>
  <c r="BA533" i="3"/>
  <c r="BA525" i="3"/>
  <c r="BA515" i="3"/>
  <c r="BA505" i="3"/>
  <c r="BA497" i="3"/>
  <c r="G583" i="3"/>
  <c r="G575" i="3"/>
  <c r="G567" i="3"/>
  <c r="G561" i="3"/>
  <c r="BL558" i="3"/>
  <c r="AC557" i="3"/>
  <c r="BQ557" i="3"/>
  <c r="BQ583" i="3"/>
  <c r="BQ581" i="3"/>
  <c r="BL581" i="3" s="1"/>
  <c r="BQ579" i="3"/>
  <c r="BQ577" i="3"/>
  <c r="BQ575" i="3"/>
  <c r="BQ573" i="3"/>
  <c r="BQ571" i="3"/>
  <c r="BL571" i="3" s="1"/>
  <c r="BQ569" i="3"/>
  <c r="BQ567" i="3"/>
  <c r="BQ565" i="3"/>
  <c r="BL565" i="3" s="1"/>
  <c r="BQ563" i="3"/>
  <c r="BQ561" i="3"/>
  <c r="BQ559" i="3"/>
  <c r="G555" i="3"/>
  <c r="G553" i="3"/>
  <c r="G547" i="3"/>
  <c r="G545" i="3"/>
  <c r="G543" i="3"/>
  <c r="G537" i="3"/>
  <c r="BQ555" i="3"/>
  <c r="BQ553" i="3"/>
  <c r="BQ551" i="3"/>
  <c r="BQ549" i="3"/>
  <c r="BQ547" i="3"/>
  <c r="BQ545" i="3"/>
  <c r="BQ543" i="3"/>
  <c r="BQ541" i="3"/>
  <c r="BL541" i="3" s="1"/>
  <c r="AZ541" i="3" s="1"/>
  <c r="BQ539" i="3"/>
  <c r="BQ537" i="3"/>
  <c r="BQ535" i="3"/>
  <c r="BQ533" i="3"/>
  <c r="BL533" i="3" s="1"/>
  <c r="BQ531" i="3"/>
  <c r="BQ529" i="3"/>
  <c r="BQ527" i="3"/>
  <c r="BQ525" i="3"/>
  <c r="BL525" i="3" s="1"/>
  <c r="BQ523" i="3"/>
  <c r="AC521" i="3"/>
  <c r="G521" i="3" s="1"/>
  <c r="BQ521" i="3"/>
  <c r="G519" i="3"/>
  <c r="G515" i="3"/>
  <c r="G513" i="3"/>
  <c r="G511" i="3"/>
  <c r="BQ519" i="3"/>
  <c r="BQ517" i="3"/>
  <c r="BQ515" i="3"/>
  <c r="BQ513" i="3"/>
  <c r="BQ511" i="3"/>
  <c r="BL511" i="3"/>
  <c r="AC509" i="3"/>
  <c r="G509" i="3" s="1"/>
  <c r="BQ509" i="3"/>
  <c r="BL509" i="3" s="1"/>
  <c r="G507" i="3"/>
  <c r="G505" i="3"/>
  <c r="G501" i="3"/>
  <c r="G499" i="3"/>
  <c r="G497" i="3"/>
  <c r="BQ507" i="3"/>
  <c r="BQ505" i="3"/>
  <c r="BL505" i="3" s="1"/>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42" i="33" s="1"/>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U33" i="37"/>
  <c r="AC8" i="37"/>
  <c r="U26" i="37"/>
  <c r="W37" i="34"/>
  <c r="AC36" i="34"/>
  <c r="AC45" i="33"/>
  <c r="U11" i="33"/>
  <c r="U19" i="21"/>
  <c r="AB38" i="21"/>
  <c r="W15" i="34"/>
  <c r="AC15" i="34"/>
  <c r="W16" i="35"/>
  <c r="H37" i="21"/>
  <c r="U37" i="21" s="1"/>
  <c r="H19" i="34"/>
  <c r="AB19" i="34" s="1"/>
  <c r="F36" i="35"/>
  <c r="S36" i="35" s="1"/>
  <c r="J9" i="37"/>
  <c r="W9" i="37" s="1"/>
  <c r="H9" i="37"/>
  <c r="AB9" i="37" s="1"/>
  <c r="J12" i="37"/>
  <c r="W12" i="37" s="1"/>
  <c r="H12" i="37"/>
  <c r="AB12" i="37" s="1"/>
  <c r="F12" i="37"/>
  <c r="S12" i="37" s="1"/>
  <c r="F15" i="37"/>
  <c r="AA15" i="37" s="1"/>
  <c r="F31" i="37"/>
  <c r="S31" i="37" s="1"/>
  <c r="F12" i="39"/>
  <c r="S12" i="39" s="1"/>
  <c r="J42" i="39"/>
  <c r="AC42" i="39" s="1"/>
  <c r="H21" i="40"/>
  <c r="AB21" i="40" s="1"/>
  <c r="AC12" i="37"/>
  <c r="H31" i="37"/>
  <c r="U31" i="37" s="1"/>
  <c r="J15" i="37"/>
  <c r="W15" i="37" s="1"/>
  <c r="AT6" i="3"/>
  <c r="C12" i="43"/>
  <c r="H19" i="40"/>
  <c r="U19" i="40" s="1"/>
  <c r="F88" i="40"/>
  <c r="G88" i="40" s="1"/>
  <c r="F19" i="40"/>
  <c r="S19" i="40" s="1"/>
  <c r="AB33" i="40"/>
  <c r="W23" i="39"/>
  <c r="W43" i="39"/>
  <c r="U45" i="39"/>
  <c r="AB45" i="39"/>
  <c r="G101" i="39"/>
  <c r="H37" i="39"/>
  <c r="AB37" i="39" s="1"/>
  <c r="H25" i="39"/>
  <c r="AB25" i="39" s="1"/>
  <c r="J25" i="39"/>
  <c r="F25" i="39"/>
  <c r="AA25" i="39" s="1"/>
  <c r="F15" i="39"/>
  <c r="AA15" i="39" s="1"/>
  <c r="H15" i="39"/>
  <c r="U15" i="39" s="1"/>
  <c r="J15" i="39"/>
  <c r="W15" i="39" s="1"/>
  <c r="H41"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G4" i="4"/>
  <c r="I4" i="4"/>
  <c r="K5" i="4"/>
  <c r="B47" i="48" s="1"/>
  <c r="A2" i="9"/>
  <c r="N2" i="43"/>
  <c r="AZ24" i="3"/>
  <c r="G546" i="3"/>
  <c r="G303" i="3"/>
  <c r="BL304" i="3"/>
  <c r="G305" i="3"/>
  <c r="BL306" i="3"/>
  <c r="AZ306" i="3" s="1"/>
  <c r="BA308" i="3"/>
  <c r="BA309" i="3"/>
  <c r="AZ309" i="3" s="1"/>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AZ362" i="3" s="1"/>
  <c r="G370" i="3"/>
  <c r="BL371" i="3"/>
  <c r="G372" i="3"/>
  <c r="BL373" i="3"/>
  <c r="BA375" i="3"/>
  <c r="AZ375" i="3" s="1"/>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AZ147" i="3" s="1"/>
  <c r="BL148" i="3"/>
  <c r="G149" i="3"/>
  <c r="BA151" i="3"/>
  <c r="AZ151" i="3" s="1"/>
  <c r="BL152" i="3"/>
  <c r="G153" i="3"/>
  <c r="BA155" i="3"/>
  <c r="AZ155" i="3" s="1"/>
  <c r="BL156" i="3"/>
  <c r="G157" i="3"/>
  <c r="BA159" i="3"/>
  <c r="BL160" i="3"/>
  <c r="G161" i="3"/>
  <c r="BA163" i="3"/>
  <c r="BL164" i="3"/>
  <c r="AZ164" i="3" s="1"/>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AZ203" i="3" s="1"/>
  <c r="BL204" i="3"/>
  <c r="AZ136" i="3"/>
  <c r="G534" i="3"/>
  <c r="G51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AZ334" i="3" s="1"/>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66" i="3"/>
  <c r="AZ182" i="3"/>
  <c r="BA16" i="3"/>
  <c r="BL303" i="3"/>
  <c r="G304" i="3"/>
  <c r="BA306" i="3"/>
  <c r="BL307" i="3"/>
  <c r="G308" i="3"/>
  <c r="BA310" i="3"/>
  <c r="BL311" i="3"/>
  <c r="G312" i="3"/>
  <c r="BA314" i="3"/>
  <c r="BL315" i="3"/>
  <c r="G316" i="3"/>
  <c r="BA318" i="3"/>
  <c r="BL319" i="3"/>
  <c r="G320" i="3"/>
  <c r="BA322" i="3"/>
  <c r="AZ322" i="3" s="1"/>
  <c r="BL323" i="3"/>
  <c r="AZ323" i="3" s="1"/>
  <c r="G324" i="3"/>
  <c r="BA326" i="3"/>
  <c r="BL327" i="3"/>
  <c r="AZ327" i="3" s="1"/>
  <c r="G328" i="3"/>
  <c r="BA330" i="3"/>
  <c r="BL331" i="3"/>
  <c r="G332" i="3"/>
  <c r="BA334" i="3"/>
  <c r="BL335" i="3"/>
  <c r="G336" i="3"/>
  <c r="BA338" i="3"/>
  <c r="AZ338" i="3"/>
  <c r="BL339" i="3"/>
  <c r="G340" i="3"/>
  <c r="BL343" i="3"/>
  <c r="AZ343" i="3" s="1"/>
  <c r="G344" i="3"/>
  <c r="G348" i="3"/>
  <c r="G355" i="3"/>
  <c r="G342" i="3"/>
  <c r="BL345" i="3"/>
  <c r="G346" i="3"/>
  <c r="BL349" i="3"/>
  <c r="BL352" i="3"/>
  <c r="G353" i="3"/>
  <c r="BA357" i="3"/>
  <c r="AZ357" i="3" s="1"/>
  <c r="BL358" i="3"/>
  <c r="G359" i="3"/>
  <c r="BA361" i="3"/>
  <c r="BL362" i="3"/>
  <c r="G363" i="3"/>
  <c r="BA365" i="3"/>
  <c r="AZ365" i="3" s="1"/>
  <c r="BL366" i="3"/>
  <c r="G367" i="3"/>
  <c r="BA369" i="3"/>
  <c r="AZ369" i="3"/>
  <c r="BL370" i="3"/>
  <c r="G371" i="3"/>
  <c r="BA373" i="3"/>
  <c r="AZ373" i="3"/>
  <c r="BL374" i="3"/>
  <c r="G375" i="3"/>
  <c r="BA377" i="3"/>
  <c r="AZ377" i="3" s="1"/>
  <c r="AZ370" i="3"/>
  <c r="BA379" i="3"/>
  <c r="AZ379" i="3"/>
  <c r="BL380" i="3"/>
  <c r="G381" i="3"/>
  <c r="BA383" i="3"/>
  <c r="BL384" i="3"/>
  <c r="G385" i="3"/>
  <c r="BA387" i="3"/>
  <c r="AZ387" i="3" s="1"/>
  <c r="BL388" i="3"/>
  <c r="G389" i="3"/>
  <c r="BA391" i="3"/>
  <c r="BL392" i="3"/>
  <c r="G393" i="3"/>
  <c r="BF5" i="3"/>
  <c r="G538" i="3"/>
  <c r="BP5" i="3"/>
  <c r="BG5" i="3"/>
  <c r="G17" i="3"/>
  <c r="BA17" i="3"/>
  <c r="AZ352" i="3"/>
  <c r="BA15" i="3"/>
  <c r="BR5" i="3"/>
  <c r="AZ382" i="3"/>
  <c r="U36" i="40"/>
  <c r="N4" i="43"/>
  <c r="F36" i="43"/>
  <c r="F81" i="43"/>
  <c r="H83" i="43" s="1"/>
  <c r="H113" i="43"/>
  <c r="N7" i="43"/>
  <c r="F70" i="43"/>
  <c r="H73" i="43" s="1"/>
  <c r="M6" i="43"/>
  <c r="M11" i="43"/>
  <c r="E17" i="43"/>
  <c r="F39" i="43"/>
  <c r="I17" i="43"/>
  <c r="F35" i="43"/>
  <c r="J17" i="43"/>
  <c r="F6" i="1"/>
  <c r="I20" i="100" s="1"/>
  <c r="C20" i="100" s="1"/>
  <c r="U17" i="39"/>
  <c r="S14" i="35"/>
  <c r="U43" i="21"/>
  <c r="U35" i="21"/>
  <c r="AC35" i="21"/>
  <c r="U10" i="21"/>
  <c r="F48" i="9"/>
  <c r="O52" i="9" s="1"/>
  <c r="AC11" i="39"/>
  <c r="W37" i="37"/>
  <c r="W44" i="34"/>
  <c r="S15" i="37"/>
  <c r="AA12" i="40"/>
  <c r="J37" i="33"/>
  <c r="W37" i="33" s="1"/>
  <c r="AC17" i="34"/>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K9" i="1"/>
  <c r="AZ336" i="3" l="1"/>
  <c r="AZ329" i="3"/>
  <c r="AZ321" i="3"/>
  <c r="AZ378" i="3"/>
  <c r="AZ360" i="3"/>
  <c r="S11" i="39"/>
  <c r="S42" i="21"/>
  <c r="AB37" i="34"/>
  <c r="AA41" i="34"/>
  <c r="AZ525" i="3"/>
  <c r="AZ533" i="3"/>
  <c r="W11" i="36"/>
  <c r="AA44" i="33"/>
  <c r="J44" i="21"/>
  <c r="S40" i="39"/>
  <c r="AB39" i="40"/>
  <c r="J12" i="21"/>
  <c r="AC12" i="21" s="1"/>
  <c r="U8" i="35"/>
  <c r="AB8" i="35"/>
  <c r="J23" i="35"/>
  <c r="J37" i="39"/>
  <c r="AC37" i="39" s="1"/>
  <c r="F37" i="39"/>
  <c r="AA37" i="39" s="1"/>
  <c r="F40" i="40"/>
  <c r="J40" i="40"/>
  <c r="W40" i="40" s="1"/>
  <c r="H40" i="40"/>
  <c r="S31" i="35"/>
  <c r="AA31" i="35"/>
  <c r="AZ374" i="3"/>
  <c r="AZ318" i="3"/>
  <c r="AZ351" i="3"/>
  <c r="AZ320" i="3"/>
  <c r="AZ313" i="3"/>
  <c r="AZ391" i="3"/>
  <c r="AZ380" i="3"/>
  <c r="W14" i="39"/>
  <c r="AZ584" i="3"/>
  <c r="J28" i="21"/>
  <c r="W28" i="36"/>
  <c r="G585" i="3"/>
  <c r="BL587" i="3"/>
  <c r="BA587" i="3"/>
  <c r="BA586" i="3"/>
  <c r="E117" i="33"/>
  <c r="F117" i="33" s="1"/>
  <c r="G117" i="33" s="1"/>
  <c r="J39" i="33"/>
  <c r="AC39" i="33" s="1"/>
  <c r="J12" i="34"/>
  <c r="F12" i="34"/>
  <c r="AZ195" i="3"/>
  <c r="AC31" i="36"/>
  <c r="W31" i="36"/>
  <c r="H44" i="39"/>
  <c r="AB44" i="39" s="1"/>
  <c r="F44" i="39"/>
  <c r="BA554" i="3"/>
  <c r="BA553" i="3"/>
  <c r="BL552" i="3"/>
  <c r="BL549" i="3"/>
  <c r="AZ549" i="3" s="1"/>
  <c r="BA545" i="3"/>
  <c r="BA544" i="3"/>
  <c r="AZ544" i="3" s="1"/>
  <c r="BA543" i="3"/>
  <c r="BL538" i="3"/>
  <c r="BA536" i="3"/>
  <c r="BA535" i="3"/>
  <c r="BL532" i="3"/>
  <c r="BL530" i="3"/>
  <c r="BA528" i="3"/>
  <c r="BA527" i="3"/>
  <c r="BA526" i="3"/>
  <c r="AZ526" i="3" s="1"/>
  <c r="BA524" i="3"/>
  <c r="BL522" i="3"/>
  <c r="BL520" i="3"/>
  <c r="BA520" i="3"/>
  <c r="BL518" i="3"/>
  <c r="BA517" i="3"/>
  <c r="BA516" i="3"/>
  <c r="BA513" i="3"/>
  <c r="BA512" i="3"/>
  <c r="BA510" i="3"/>
  <c r="AZ510" i="3" s="1"/>
  <c r="BA507" i="3"/>
  <c r="BL506" i="3"/>
  <c r="BA506" i="3"/>
  <c r="BA504" i="3"/>
  <c r="BL501" i="3"/>
  <c r="BT5" i="3"/>
  <c r="G28" i="6" s="1"/>
  <c r="BA499" i="3"/>
  <c r="BJ5" i="3"/>
  <c r="BA498" i="3"/>
  <c r="BS5" i="3"/>
  <c r="F28" i="6" s="1"/>
  <c r="F30" i="6" s="1"/>
  <c r="BL497" i="3"/>
  <c r="BL495" i="3"/>
  <c r="BL494" i="3"/>
  <c r="BH5" i="3"/>
  <c r="E14" i="6" s="1"/>
  <c r="E64" i="39" s="1"/>
  <c r="BD5" i="3"/>
  <c r="BL493" i="3"/>
  <c r="BK5" i="3"/>
  <c r="AZ566" i="3"/>
  <c r="AZ345" i="3"/>
  <c r="AZ324" i="3"/>
  <c r="AA25" i="21"/>
  <c r="AA12" i="21"/>
  <c r="AC30" i="34"/>
  <c r="F13" i="36"/>
  <c r="S13" i="36" s="1"/>
  <c r="H44" i="21"/>
  <c r="U44" i="21" s="1"/>
  <c r="AA29" i="35"/>
  <c r="AB17" i="34"/>
  <c r="F23" i="35"/>
  <c r="AA23" i="35" s="1"/>
  <c r="J44" i="39"/>
  <c r="H12" i="21"/>
  <c r="J9" i="33"/>
  <c r="AC9" i="33" s="1"/>
  <c r="J34" i="35"/>
  <c r="F12" i="35"/>
  <c r="J12" i="35"/>
  <c r="W12" i="35" s="1"/>
  <c r="H36" i="35"/>
  <c r="AB36" i="35" s="1"/>
  <c r="J36" i="35"/>
  <c r="U33" i="33"/>
  <c r="S34" i="34"/>
  <c r="W8" i="36"/>
  <c r="G586" i="3"/>
  <c r="H27" i="37"/>
  <c r="U27" i="37" s="1"/>
  <c r="G577" i="3"/>
  <c r="G576" i="3"/>
  <c r="BA573" i="3"/>
  <c r="BA572" i="3"/>
  <c r="BA571" i="3"/>
  <c r="G569" i="3"/>
  <c r="BL567" i="3"/>
  <c r="BL566" i="3"/>
  <c r="BA563" i="3"/>
  <c r="BA562" i="3"/>
  <c r="BL560" i="3"/>
  <c r="G558" i="3"/>
  <c r="BL557" i="3"/>
  <c r="BA555" i="3"/>
  <c r="G552" i="3"/>
  <c r="BA547" i="3"/>
  <c r="BA546" i="3"/>
  <c r="AZ546" i="3" s="1"/>
  <c r="BL542" i="3"/>
  <c r="G541" i="3"/>
  <c r="BL540" i="3"/>
  <c r="BA538" i="3"/>
  <c r="BA537" i="3"/>
  <c r="G535" i="3"/>
  <c r="G533" i="3"/>
  <c r="BA530" i="3"/>
  <c r="BA529" i="3"/>
  <c r="G526" i="3"/>
  <c r="G525" i="3"/>
  <c r="BL524" i="3"/>
  <c r="BL521" i="3"/>
  <c r="BA521" i="3"/>
  <c r="AZ521" i="3" s="1"/>
  <c r="BL519" i="3"/>
  <c r="AZ519" i="3" s="1"/>
  <c r="BA519" i="3"/>
  <c r="BA518" i="3"/>
  <c r="G518" i="3"/>
  <c r="BL512" i="3"/>
  <c r="BA511" i="3"/>
  <c r="BA508" i="3"/>
  <c r="BL504" i="3"/>
  <c r="G504" i="3"/>
  <c r="BA501" i="3"/>
  <c r="BL500" i="3"/>
  <c r="BA500" i="3"/>
  <c r="AZ500" i="3" s="1"/>
  <c r="BA494" i="3"/>
  <c r="BO5" i="3"/>
  <c r="BA493" i="3"/>
  <c r="C24" i="9"/>
  <c r="BA469" i="3"/>
  <c r="BL469" i="3"/>
  <c r="BL584" i="3"/>
  <c r="BA583" i="3"/>
  <c r="BL582" i="3"/>
  <c r="BA582" i="3"/>
  <c r="BA581" i="3"/>
  <c r="AZ581" i="3" s="1"/>
  <c r="BL579" i="3"/>
  <c r="AZ579" i="3" s="1"/>
  <c r="BA575" i="3"/>
  <c r="BA574" i="3"/>
  <c r="BL568" i="3"/>
  <c r="BA565" i="3"/>
  <c r="AZ565" i="3" s="1"/>
  <c r="BL564" i="3"/>
  <c r="BL563" i="3"/>
  <c r="BL562" i="3"/>
  <c r="BA556" i="3"/>
  <c r="AZ556" i="3" s="1"/>
  <c r="BL555" i="3"/>
  <c r="AZ555" i="3" s="1"/>
  <c r="BA548" i="3"/>
  <c r="BA540" i="3"/>
  <c r="AZ540" i="3" s="1"/>
  <c r="BA539" i="3"/>
  <c r="BA532" i="3"/>
  <c r="BA531" i="3"/>
  <c r="BA523" i="3"/>
  <c r="BL515" i="3"/>
  <c r="AZ515" i="3" s="1"/>
  <c r="BA509" i="3"/>
  <c r="AZ509" i="3" s="1"/>
  <c r="BL508" i="3"/>
  <c r="BA503" i="3"/>
  <c r="BA502" i="3"/>
  <c r="AZ502" i="3" s="1"/>
  <c r="BL499" i="3"/>
  <c r="BA496" i="3"/>
  <c r="BA495" i="3"/>
  <c r="BN5" i="3"/>
  <c r="BA401" i="3"/>
  <c r="BA402" i="3"/>
  <c r="BL402" i="3"/>
  <c r="G405" i="3"/>
  <c r="G406" i="3"/>
  <c r="BA407" i="3"/>
  <c r="BL410" i="3"/>
  <c r="BA411" i="3"/>
  <c r="AZ411" i="3" s="1"/>
  <c r="BL414" i="3"/>
  <c r="G415" i="3"/>
  <c r="G416" i="3"/>
  <c r="BA416" i="3"/>
  <c r="BA419" i="3"/>
  <c r="G423" i="3"/>
  <c r="BA428" i="3"/>
  <c r="G431" i="3"/>
  <c r="BA433" i="3"/>
  <c r="BL436" i="3"/>
  <c r="G437" i="3"/>
  <c r="G438" i="3"/>
  <c r="G443" i="3"/>
  <c r="G444" i="3"/>
  <c r="BA444" i="3"/>
  <c r="BL447" i="3"/>
  <c r="G448" i="3"/>
  <c r="G582" i="3"/>
  <c r="G581" i="3"/>
  <c r="BL575" i="3"/>
  <c r="AZ575" i="3" s="1"/>
  <c r="G574" i="3"/>
  <c r="G573" i="3"/>
  <c r="BA570" i="3"/>
  <c r="AZ570" i="3" s="1"/>
  <c r="BA567" i="3"/>
  <c r="G565" i="3"/>
  <c r="BA559" i="3"/>
  <c r="BA558" i="3"/>
  <c r="AZ558" i="3" s="1"/>
  <c r="BA557" i="3"/>
  <c r="AZ557" i="3" s="1"/>
  <c r="BL16" i="3"/>
  <c r="AZ16" i="3" s="1"/>
  <c r="BL399" i="3"/>
  <c r="G402" i="3"/>
  <c r="BA405" i="3"/>
  <c r="AZ405" i="3" s="1"/>
  <c r="BL409" i="3"/>
  <c r="BA410" i="3"/>
  <c r="BL413" i="3"/>
  <c r="G414" i="3"/>
  <c r="BA415" i="3"/>
  <c r="BA418" i="3"/>
  <c r="BL418" i="3"/>
  <c r="G421" i="3"/>
  <c r="BA425" i="3"/>
  <c r="AZ425" i="3" s="1"/>
  <c r="BL425" i="3"/>
  <c r="BL432" i="3"/>
  <c r="BA437" i="3"/>
  <c r="AZ437" i="3" s="1"/>
  <c r="BA443" i="3"/>
  <c r="BA446" i="3"/>
  <c r="BA449" i="3"/>
  <c r="G451" i="3"/>
  <c r="BA454" i="3"/>
  <c r="G457" i="3"/>
  <c r="BA465" i="3"/>
  <c r="BL466" i="3"/>
  <c r="G467" i="3"/>
  <c r="C30" i="9"/>
  <c r="G398" i="3"/>
  <c r="G399" i="3"/>
  <c r="BL404" i="3"/>
  <c r="G408" i="3"/>
  <c r="BA409" i="3"/>
  <c r="G413" i="3"/>
  <c r="G418" i="3"/>
  <c r="BA422" i="3"/>
  <c r="BL424" i="3"/>
  <c r="G425" i="3"/>
  <c r="G427" i="3"/>
  <c r="G428" i="3"/>
  <c r="BL430" i="3"/>
  <c r="G434" i="3"/>
  <c r="G435" i="3"/>
  <c r="BA441" i="3"/>
  <c r="G446" i="3"/>
  <c r="G450" i="3"/>
  <c r="BA451" i="3"/>
  <c r="BA453" i="3"/>
  <c r="AZ453" i="3" s="1"/>
  <c r="BL453" i="3"/>
  <c r="G456" i="3"/>
  <c r="BA457" i="3"/>
  <c r="BA461" i="3"/>
  <c r="AZ461" i="3" s="1"/>
  <c r="BL461" i="3"/>
  <c r="BL462" i="3"/>
  <c r="BA473" i="3"/>
  <c r="BA481" i="3"/>
  <c r="G484" i="3"/>
  <c r="BA487" i="3"/>
  <c r="G490" i="3"/>
  <c r="BA307" i="3"/>
  <c r="AZ307" i="3" s="1"/>
  <c r="BA316" i="3"/>
  <c r="BL328" i="3"/>
  <c r="AZ328" i="3" s="1"/>
  <c r="BA339" i="3"/>
  <c r="AZ339" i="3" s="1"/>
  <c r="BL354" i="3"/>
  <c r="G364" i="3"/>
  <c r="BL368" i="3"/>
  <c r="G369" i="3"/>
  <c r="BL385" i="3"/>
  <c r="G395" i="3"/>
  <c r="BA397" i="3"/>
  <c r="BA211" i="3"/>
  <c r="G215" i="3"/>
  <c r="G217" i="3"/>
  <c r="BA219" i="3"/>
  <c r="BL222" i="3"/>
  <c r="G223" i="3"/>
  <c r="BL228" i="3"/>
  <c r="G231" i="3"/>
  <c r="BA235" i="3"/>
  <c r="AZ235" i="3" s="1"/>
  <c r="BL235" i="3"/>
  <c r="BL238" i="3"/>
  <c r="BL248" i="3"/>
  <c r="BA258" i="3"/>
  <c r="BL261" i="3"/>
  <c r="BA266" i="3"/>
  <c r="BL266" i="3"/>
  <c r="AZ266" i="3" s="1"/>
  <c r="BL270" i="3"/>
  <c r="BA281" i="3"/>
  <c r="BL282" i="3"/>
  <c r="BA288" i="3"/>
  <c r="BL289" i="3"/>
  <c r="BL294" i="3"/>
  <c r="BA300" i="3"/>
  <c r="BL300" i="3"/>
  <c r="BL115" i="3"/>
  <c r="AZ115" i="3" s="1"/>
  <c r="BA128" i="3"/>
  <c r="AZ128" i="3" s="1"/>
  <c r="BA476" i="3"/>
  <c r="BA480" i="3"/>
  <c r="BL483" i="3"/>
  <c r="BA486" i="3"/>
  <c r="AZ486" i="3" s="1"/>
  <c r="BL486" i="3"/>
  <c r="G489" i="3"/>
  <c r="BA490" i="3"/>
  <c r="BA303" i="3"/>
  <c r="AZ303" i="3" s="1"/>
  <c r="BL314" i="3"/>
  <c r="AZ314" i="3" s="1"/>
  <c r="G318" i="3"/>
  <c r="BL324" i="3"/>
  <c r="G327" i="3"/>
  <c r="G331" i="3"/>
  <c r="BA335" i="3"/>
  <c r="AZ335" i="3" s="1"/>
  <c r="BL350" i="3"/>
  <c r="G351" i="3"/>
  <c r="BA354" i="3"/>
  <c r="AZ354" i="3" s="1"/>
  <c r="BA367" i="3"/>
  <c r="AZ367" i="3" s="1"/>
  <c r="BL367" i="3"/>
  <c r="BA384" i="3"/>
  <c r="AZ384" i="3" s="1"/>
  <c r="BA396" i="3"/>
  <c r="BA209" i="3"/>
  <c r="AZ209" i="3" s="1"/>
  <c r="BL209" i="3"/>
  <c r="G213" i="3"/>
  <c r="BA218" i="3"/>
  <c r="BL221" i="3"/>
  <c r="G222" i="3"/>
  <c r="BA226" i="3"/>
  <c r="G235" i="3"/>
  <c r="G237" i="3"/>
  <c r="G238" i="3"/>
  <c r="BL247" i="3"/>
  <c r="G250" i="3"/>
  <c r="G251" i="3"/>
  <c r="BA252" i="3"/>
  <c r="BA254" i="3"/>
  <c r="BL254" i="3"/>
  <c r="BL260" i="3"/>
  <c r="BA261" i="3"/>
  <c r="AZ261" i="3" s="1"/>
  <c r="BL265" i="3"/>
  <c r="G266" i="3"/>
  <c r="G268" i="3"/>
  <c r="G269" i="3"/>
  <c r="G270" i="3"/>
  <c r="BA275" i="3"/>
  <c r="BL275" i="3"/>
  <c r="BL277" i="3"/>
  <c r="G282" i="3"/>
  <c r="BA286" i="3"/>
  <c r="BL286" i="3"/>
  <c r="AZ286" i="3" s="1"/>
  <c r="BL287" i="3"/>
  <c r="G289" i="3"/>
  <c r="BL292" i="3"/>
  <c r="BA297" i="3"/>
  <c r="BL299" i="3"/>
  <c r="G300" i="3"/>
  <c r="BL126" i="3"/>
  <c r="AZ260" i="3"/>
  <c r="BL446" i="3"/>
  <c r="G452" i="3"/>
  <c r="BL455" i="3"/>
  <c r="G460" i="3"/>
  <c r="G469" i="3"/>
  <c r="G471" i="3"/>
  <c r="G472" i="3"/>
  <c r="G473" i="3"/>
  <c r="G474" i="3"/>
  <c r="BA474" i="3"/>
  <c r="G477" i="3"/>
  <c r="G479" i="3"/>
  <c r="G480" i="3"/>
  <c r="G482" i="3"/>
  <c r="BA482" i="3"/>
  <c r="BL484" i="3"/>
  <c r="G485" i="3"/>
  <c r="BL488" i="3"/>
  <c r="G492" i="3"/>
  <c r="BL308" i="3"/>
  <c r="AZ308" i="3" s="1"/>
  <c r="G311" i="3"/>
  <c r="G315" i="3"/>
  <c r="BA319" i="3"/>
  <c r="AZ319" i="3" s="1"/>
  <c r="BL330" i="3"/>
  <c r="AZ330" i="3" s="1"/>
  <c r="G334" i="3"/>
  <c r="BL340" i="3"/>
  <c r="AZ340" i="3" s="1"/>
  <c r="G343" i="3"/>
  <c r="G349" i="3"/>
  <c r="BA358" i="3"/>
  <c r="AZ358" i="3" s="1"/>
  <c r="G366" i="3"/>
  <c r="BA374" i="3"/>
  <c r="BL381" i="3"/>
  <c r="AZ381" i="3" s="1"/>
  <c r="BA386" i="3"/>
  <c r="AZ386" i="3" s="1"/>
  <c r="BL386" i="3"/>
  <c r="G392" i="3"/>
  <c r="BL397" i="3"/>
  <c r="BL212" i="3"/>
  <c r="BA215" i="3"/>
  <c r="AZ215" i="3" s="1"/>
  <c r="BL215" i="3"/>
  <c r="BL219" i="3"/>
  <c r="BL223" i="3"/>
  <c r="G224" i="3"/>
  <c r="G226" i="3"/>
  <c r="BL229" i="3"/>
  <c r="BL231" i="3"/>
  <c r="G232" i="3"/>
  <c r="BA242" i="3"/>
  <c r="BA243" i="3"/>
  <c r="AZ243" i="3" s="1"/>
  <c r="BL243" i="3"/>
  <c r="BL249" i="3"/>
  <c r="BA259" i="3"/>
  <c r="G264" i="3"/>
  <c r="BA271" i="3"/>
  <c r="BL272" i="3"/>
  <c r="G285" i="3"/>
  <c r="BA290" i="3"/>
  <c r="AZ290" i="3" s="1"/>
  <c r="BL290" i="3"/>
  <c r="G293" i="3"/>
  <c r="BL295" i="3"/>
  <c r="G298" i="3"/>
  <c r="BA116" i="3"/>
  <c r="AZ116" i="3" s="1"/>
  <c r="BA125" i="3"/>
  <c r="BA150" i="3"/>
  <c r="BL150" i="3"/>
  <c r="BA162" i="3"/>
  <c r="BL175" i="3"/>
  <c r="AZ175" i="3" s="1"/>
  <c r="BA207" i="3"/>
  <c r="BA32" i="3"/>
  <c r="BA42" i="3"/>
  <c r="BA47" i="3"/>
  <c r="BA53" i="3"/>
  <c r="BL56" i="3"/>
  <c r="BA59" i="3"/>
  <c r="BA64" i="3"/>
  <c r="BA76" i="3"/>
  <c r="BA86" i="3"/>
  <c r="BA99" i="3"/>
  <c r="BA102" i="3"/>
  <c r="BL110" i="3"/>
  <c r="G302" i="3"/>
  <c r="G114" i="3"/>
  <c r="G115" i="3"/>
  <c r="BL118" i="3"/>
  <c r="BL122" i="3"/>
  <c r="G126" i="3"/>
  <c r="BA126" i="3"/>
  <c r="BL130" i="3"/>
  <c r="AZ130" i="3" s="1"/>
  <c r="G136" i="3"/>
  <c r="BA144" i="3"/>
  <c r="AZ144" i="3" s="1"/>
  <c r="BA146" i="3"/>
  <c r="G150" i="3"/>
  <c r="G152" i="3"/>
  <c r="BA157" i="3"/>
  <c r="BA161" i="3"/>
  <c r="BA165" i="3"/>
  <c r="BA169" i="3"/>
  <c r="AZ169" i="3" s="1"/>
  <c r="BL169" i="3"/>
  <c r="BL170" i="3"/>
  <c r="G175" i="3"/>
  <c r="G182" i="3"/>
  <c r="G184" i="3"/>
  <c r="BA189" i="3"/>
  <c r="BA190" i="3"/>
  <c r="BL190" i="3"/>
  <c r="BA197" i="3"/>
  <c r="BA202" i="3"/>
  <c r="G205" i="3"/>
  <c r="BA206" i="3"/>
  <c r="G20" i="3"/>
  <c r="G21" i="3"/>
  <c r="BA30" i="3"/>
  <c r="BA31" i="3"/>
  <c r="AZ31" i="3" s="1"/>
  <c r="BL31" i="3"/>
  <c r="BA41" i="3"/>
  <c r="BL41" i="3"/>
  <c r="BA46" i="3"/>
  <c r="G50" i="3"/>
  <c r="G51" i="3"/>
  <c r="G56" i="3"/>
  <c r="BA57" i="3"/>
  <c r="BL61" i="3"/>
  <c r="AZ61" i="3" s="1"/>
  <c r="BA63" i="3"/>
  <c r="G68" i="3"/>
  <c r="BA71" i="3"/>
  <c r="BL72" i="3"/>
  <c r="G77" i="3"/>
  <c r="BL82" i="3"/>
  <c r="G83" i="3"/>
  <c r="BA84" i="3"/>
  <c r="G88" i="3"/>
  <c r="G89" i="3"/>
  <c r="BA95" i="3"/>
  <c r="AZ95" i="3" s="1"/>
  <c r="BL96" i="3"/>
  <c r="G97" i="3"/>
  <c r="BA98" i="3"/>
  <c r="BL101" i="3"/>
  <c r="G103" i="3"/>
  <c r="BA104" i="3"/>
  <c r="BA107" i="3"/>
  <c r="BL109" i="3"/>
  <c r="AZ109" i="3" s="1"/>
  <c r="BA110" i="3"/>
  <c r="AZ110" i="3" s="1"/>
  <c r="BL195" i="3"/>
  <c r="BA20" i="3"/>
  <c r="BA88" i="3"/>
  <c r="AZ88" i="3" s="1"/>
  <c r="G119" i="3"/>
  <c r="G128" i="3"/>
  <c r="BA129" i="3"/>
  <c r="G134" i="3"/>
  <c r="BL137" i="3"/>
  <c r="G138" i="3"/>
  <c r="BL142" i="3"/>
  <c r="G143" i="3"/>
  <c r="G147" i="3"/>
  <c r="BA153" i="3"/>
  <c r="AZ153" i="3" s="1"/>
  <c r="BL153" i="3"/>
  <c r="BL154" i="3"/>
  <c r="G159" i="3"/>
  <c r="G166" i="3"/>
  <c r="G168" i="3"/>
  <c r="BA173" i="3"/>
  <c r="AZ173" i="3" s="1"/>
  <c r="BA177" i="3"/>
  <c r="BL179" i="3"/>
  <c r="AZ179" i="3" s="1"/>
  <c r="G180" i="3"/>
  <c r="BA181" i="3"/>
  <c r="BA185" i="3"/>
  <c r="AZ185" i="3" s="1"/>
  <c r="BL185" i="3"/>
  <c r="BL186" i="3"/>
  <c r="BA194" i="3"/>
  <c r="G199" i="3"/>
  <c r="BL201" i="3"/>
  <c r="G203" i="3"/>
  <c r="G207" i="3"/>
  <c r="G18" i="3"/>
  <c r="BA18" i="3"/>
  <c r="AZ18" i="3" s="1"/>
  <c r="G24" i="3"/>
  <c r="G26" i="3"/>
  <c r="BA33" i="3"/>
  <c r="BL38" i="3"/>
  <c r="G40" i="3"/>
  <c r="BL44" i="3"/>
  <c r="G47" i="3"/>
  <c r="G48" i="3"/>
  <c r="BA48" i="3"/>
  <c r="BA54" i="3"/>
  <c r="G59" i="3"/>
  <c r="G60" i="3"/>
  <c r="BA60" i="3"/>
  <c r="BL64" i="3"/>
  <c r="BA66" i="3"/>
  <c r="G70" i="3"/>
  <c r="BL79" i="3"/>
  <c r="G80" i="3"/>
  <c r="G86" i="3"/>
  <c r="G87" i="3"/>
  <c r="G91" i="3"/>
  <c r="BL99" i="3"/>
  <c r="AZ99" i="3" s="1"/>
  <c r="G106" i="3"/>
  <c r="BA108" i="3"/>
  <c r="G112" i="3"/>
  <c r="I100" i="43"/>
  <c r="AZ390" i="3"/>
  <c r="AZ563" i="3"/>
  <c r="AZ562" i="3"/>
  <c r="AZ538" i="3"/>
  <c r="AZ530" i="3"/>
  <c r="AZ518" i="3"/>
  <c r="AZ508" i="3"/>
  <c r="AZ494" i="3"/>
  <c r="AZ493" i="3"/>
  <c r="W28" i="34"/>
  <c r="AC28" i="34"/>
  <c r="AZ582" i="3"/>
  <c r="AZ532" i="3"/>
  <c r="AZ361" i="3"/>
  <c r="AZ497" i="3"/>
  <c r="AZ522" i="3"/>
  <c r="AZ571" i="3"/>
  <c r="AZ542" i="3"/>
  <c r="U11" i="21"/>
  <c r="AB11" i="21"/>
  <c r="AA40" i="21"/>
  <c r="S40" i="21"/>
  <c r="B77" i="43"/>
  <c r="B77" i="100"/>
  <c r="B67" i="100"/>
  <c r="B56" i="100"/>
  <c r="B82" i="43"/>
  <c r="B82" i="100"/>
  <c r="AA9" i="34"/>
  <c r="S9" i="34"/>
  <c r="AB31" i="34"/>
  <c r="U31" i="34"/>
  <c r="BL516" i="3"/>
  <c r="AZ516" i="3" s="1"/>
  <c r="AA8" i="36"/>
  <c r="S8" i="36"/>
  <c r="W9" i="40"/>
  <c r="AC9" i="40"/>
  <c r="BB5" i="3"/>
  <c r="AC5" i="3"/>
  <c r="H5" i="3"/>
  <c r="AC31" i="33"/>
  <c r="AB28" i="37"/>
  <c r="F31" i="40"/>
  <c r="AA31" i="40" s="1"/>
  <c r="H27" i="34"/>
  <c r="AB27" i="34" s="1"/>
  <c r="H25" i="36"/>
  <c r="AB25" i="36" s="1"/>
  <c r="H13" i="34"/>
  <c r="H44" i="33"/>
  <c r="U44" i="33" s="1"/>
  <c r="F14" i="33"/>
  <c r="J40" i="37"/>
  <c r="AB13" i="33"/>
  <c r="U13" i="33"/>
  <c r="AA12" i="36"/>
  <c r="F27" i="34"/>
  <c r="AA27" i="34" s="1"/>
  <c r="U34" i="40"/>
  <c r="B85" i="43"/>
  <c r="B85" i="100"/>
  <c r="F26" i="37"/>
  <c r="AA26" i="37" s="1"/>
  <c r="AB40" i="40"/>
  <c r="U40" i="40"/>
  <c r="W31" i="35"/>
  <c r="AC31" i="35"/>
  <c r="G551" i="3"/>
  <c r="BL548" i="3"/>
  <c r="AZ548" i="3" s="1"/>
  <c r="G532" i="3"/>
  <c r="BL496" i="3"/>
  <c r="AZ496" i="3" s="1"/>
  <c r="AZ511" i="3"/>
  <c r="AZ552" i="3"/>
  <c r="W34" i="36"/>
  <c r="AC34" i="36"/>
  <c r="W11" i="40"/>
  <c r="AC11" i="40"/>
  <c r="B70" i="43"/>
  <c r="B70" i="100"/>
  <c r="C15" i="39"/>
  <c r="AB9" i="36"/>
  <c r="U9" i="36"/>
  <c r="E125" i="33"/>
  <c r="F125" i="33" s="1"/>
  <c r="G125" i="33" s="1"/>
  <c r="BL517" i="3"/>
  <c r="AZ517" i="3" s="1"/>
  <c r="BL527" i="3"/>
  <c r="AZ527" i="3" s="1"/>
  <c r="BL535" i="3"/>
  <c r="AZ535" i="3" s="1"/>
  <c r="BL543" i="3"/>
  <c r="BL551" i="3"/>
  <c r="BL577" i="3"/>
  <c r="AZ577" i="3" s="1"/>
  <c r="F46" i="21"/>
  <c r="AA46" i="21" s="1"/>
  <c r="AC33" i="37"/>
  <c r="W33" i="37"/>
  <c r="B74" i="43"/>
  <c r="B74" i="100"/>
  <c r="B54" i="100"/>
  <c r="B65" i="100"/>
  <c r="C27" i="39"/>
  <c r="W12" i="34"/>
  <c r="AC12" i="34"/>
  <c r="AC32" i="40"/>
  <c r="W32" i="40"/>
  <c r="W38" i="34"/>
  <c r="AC38" i="34"/>
  <c r="G568" i="3"/>
  <c r="BA564" i="3"/>
  <c r="AZ564" i="3" s="1"/>
  <c r="G550" i="3"/>
  <c r="U12" i="40"/>
  <c r="AZ310" i="3"/>
  <c r="W35" i="40"/>
  <c r="W37" i="39"/>
  <c r="AC13" i="40"/>
  <c r="AA13" i="33"/>
  <c r="S21" i="40"/>
  <c r="BL507" i="3"/>
  <c r="AZ507" i="3" s="1"/>
  <c r="U36" i="39"/>
  <c r="AB11" i="35"/>
  <c r="J38" i="37"/>
  <c r="AC38" i="37" s="1"/>
  <c r="F25" i="36"/>
  <c r="S25" i="36" s="1"/>
  <c r="H25" i="35"/>
  <c r="AB25" i="35" s="1"/>
  <c r="J47" i="34"/>
  <c r="AB30" i="37"/>
  <c r="U30" i="37"/>
  <c r="F14" i="37"/>
  <c r="J14" i="37"/>
  <c r="J39" i="37"/>
  <c r="AC39" i="37" s="1"/>
  <c r="H39" i="37"/>
  <c r="BA576" i="3"/>
  <c r="AZ576" i="3" s="1"/>
  <c r="BL554" i="3"/>
  <c r="AZ554" i="3" s="1"/>
  <c r="BL536" i="3"/>
  <c r="AZ536" i="3" s="1"/>
  <c r="BL534" i="3"/>
  <c r="AZ534" i="3" s="1"/>
  <c r="BL528" i="3"/>
  <c r="AZ528" i="3" s="1"/>
  <c r="BL498" i="3"/>
  <c r="AZ498" i="3" s="1"/>
  <c r="BA560" i="3"/>
  <c r="AZ311" i="3"/>
  <c r="AZ347" i="3"/>
  <c r="AZ305" i="3"/>
  <c r="S11" i="36"/>
  <c r="W40" i="33"/>
  <c r="AB14" i="37"/>
  <c r="U14" i="37"/>
  <c r="G578" i="3"/>
  <c r="BA551" i="3"/>
  <c r="AC14" i="35"/>
  <c r="W27" i="39"/>
  <c r="AB27" i="37"/>
  <c r="BL513" i="3"/>
  <c r="BL529" i="3"/>
  <c r="AZ529" i="3" s="1"/>
  <c r="BL537" i="3"/>
  <c r="AZ537" i="3" s="1"/>
  <c r="BL545" i="3"/>
  <c r="AZ545" i="3" s="1"/>
  <c r="BL553" i="3"/>
  <c r="AZ553" i="3" s="1"/>
  <c r="BL573" i="3"/>
  <c r="BL583" i="3"/>
  <c r="AZ583" i="3" s="1"/>
  <c r="U45" i="33"/>
  <c r="AB45" i="33"/>
  <c r="J46" i="21"/>
  <c r="J30" i="21"/>
  <c r="AC30" i="21" s="1"/>
  <c r="H14" i="21"/>
  <c r="U14" i="21" s="1"/>
  <c r="F41" i="33"/>
  <c r="AA41" i="33" s="1"/>
  <c r="F28" i="34"/>
  <c r="AC16" i="36"/>
  <c r="AB12" i="33"/>
  <c r="W31" i="40"/>
  <c r="AA31" i="36"/>
  <c r="BL586" i="3"/>
  <c r="AZ586" i="3" s="1"/>
  <c r="BL585" i="3"/>
  <c r="BA585" i="3"/>
  <c r="B59" i="43"/>
  <c r="B59" i="100"/>
  <c r="B73" i="43"/>
  <c r="B63" i="100"/>
  <c r="B52" i="100"/>
  <c r="B73" i="100"/>
  <c r="B88" i="43"/>
  <c r="B88" i="100"/>
  <c r="F23" i="36"/>
  <c r="AA23" i="36" s="1"/>
  <c r="F25" i="37"/>
  <c r="AA25" i="37" s="1"/>
  <c r="J26" i="37"/>
  <c r="F36" i="39"/>
  <c r="J36" i="39"/>
  <c r="BL574" i="3"/>
  <c r="AZ574" i="3" s="1"/>
  <c r="BL572" i="3"/>
  <c r="AZ572" i="3" s="1"/>
  <c r="BA568" i="3"/>
  <c r="AZ568" i="3" s="1"/>
  <c r="BL556" i="3"/>
  <c r="G544" i="3"/>
  <c r="BL514" i="3"/>
  <c r="AZ514" i="3" s="1"/>
  <c r="H86" i="43"/>
  <c r="I20" i="43"/>
  <c r="AB23" i="35"/>
  <c r="U13" i="37"/>
  <c r="AZ326" i="3"/>
  <c r="AZ372" i="3"/>
  <c r="AZ344" i="3"/>
  <c r="AZ337" i="3"/>
  <c r="S14" i="40"/>
  <c r="U12" i="37"/>
  <c r="U26" i="21"/>
  <c r="W44" i="33"/>
  <c r="BL503" i="3"/>
  <c r="AZ503" i="3" s="1"/>
  <c r="BL523" i="3"/>
  <c r="AZ523" i="3" s="1"/>
  <c r="BL531" i="3"/>
  <c r="AZ531" i="3" s="1"/>
  <c r="BL539" i="3"/>
  <c r="BL547" i="3"/>
  <c r="AZ547" i="3" s="1"/>
  <c r="BL559" i="3"/>
  <c r="AZ559" i="3" s="1"/>
  <c r="BL569" i="3"/>
  <c r="AZ569" i="3" s="1"/>
  <c r="S44" i="34"/>
  <c r="W11" i="35"/>
  <c r="W31" i="34"/>
  <c r="AB11" i="36"/>
  <c r="AA13" i="35"/>
  <c r="H38" i="37"/>
  <c r="AB38" i="37" s="1"/>
  <c r="J13" i="37"/>
  <c r="W13" i="37" s="1"/>
  <c r="J25" i="35"/>
  <c r="W25" i="35" s="1"/>
  <c r="F31" i="34"/>
  <c r="S31" i="34" s="1"/>
  <c r="J46" i="33"/>
  <c r="AC46" i="33" s="1"/>
  <c r="F30" i="33"/>
  <c r="S30" i="33" s="1"/>
  <c r="AC12" i="40"/>
  <c r="J13" i="36"/>
  <c r="J32" i="36"/>
  <c r="U46" i="34"/>
  <c r="AB46" i="34"/>
  <c r="F27" i="21"/>
  <c r="AA27" i="21" s="1"/>
  <c r="H30" i="21"/>
  <c r="U30" i="35"/>
  <c r="J15" i="33"/>
  <c r="AC15" i="33" s="1"/>
  <c r="U23" i="34"/>
  <c r="AB23" i="34"/>
  <c r="AA39" i="37"/>
  <c r="AB12" i="36"/>
  <c r="AB8" i="39"/>
  <c r="F31" i="39"/>
  <c r="S38" i="39"/>
  <c r="S9" i="33"/>
  <c r="U34" i="35"/>
  <c r="J33" i="36"/>
  <c r="W25" i="37"/>
  <c r="AB40" i="33"/>
  <c r="U40" i="33"/>
  <c r="AA34" i="35"/>
  <c r="S34" i="35"/>
  <c r="F9" i="36"/>
  <c r="AA9" i="36" s="1"/>
  <c r="H23" i="36"/>
  <c r="AB23" i="36" s="1"/>
  <c r="H25" i="37"/>
  <c r="H38" i="40"/>
  <c r="AA40" i="40"/>
  <c r="S40" i="40"/>
  <c r="BA580" i="3"/>
  <c r="AZ580" i="3" s="1"/>
  <c r="BM5" i="3"/>
  <c r="D78" i="9"/>
  <c r="D93" i="89"/>
  <c r="D78" i="89"/>
  <c r="D78" i="90"/>
  <c r="D93" i="90"/>
  <c r="AZ407" i="3"/>
  <c r="AZ409" i="3"/>
  <c r="AZ410" i="3"/>
  <c r="AZ418" i="3"/>
  <c r="AZ446" i="3"/>
  <c r="AZ469" i="3"/>
  <c r="AZ284" i="3"/>
  <c r="BC5" i="3"/>
  <c r="AZ402" i="3"/>
  <c r="AZ415" i="3"/>
  <c r="AZ416" i="3"/>
  <c r="BL419" i="3"/>
  <c r="AZ419" i="3" s="1"/>
  <c r="BL421" i="3"/>
  <c r="BL428" i="3"/>
  <c r="BL431" i="3"/>
  <c r="BA439" i="3"/>
  <c r="AZ444" i="3"/>
  <c r="AZ445" i="3"/>
  <c r="BL449" i="3"/>
  <c r="AZ449" i="3" s="1"/>
  <c r="BL450" i="3"/>
  <c r="BA460" i="3"/>
  <c r="AZ460" i="3" s="1"/>
  <c r="BA467" i="3"/>
  <c r="AZ474" i="3"/>
  <c r="BA399" i="3"/>
  <c r="AZ399" i="3" s="1"/>
  <c r="BA400" i="3"/>
  <c r="AZ400" i="3" s="1"/>
  <c r="BL403" i="3"/>
  <c r="AZ403" i="3" s="1"/>
  <c r="BL405" i="3"/>
  <c r="BL407" i="3"/>
  <c r="BL408" i="3"/>
  <c r="BA424" i="3"/>
  <c r="AZ424" i="3" s="1"/>
  <c r="BA426" i="3"/>
  <c r="AZ426" i="3" s="1"/>
  <c r="BA427" i="3"/>
  <c r="AZ427" i="3" s="1"/>
  <c r="BL434" i="3"/>
  <c r="AZ434" i="3" s="1"/>
  <c r="BL440" i="3"/>
  <c r="AZ440" i="3" s="1"/>
  <c r="BL441" i="3"/>
  <c r="BA447" i="3"/>
  <c r="BA448" i="3"/>
  <c r="AZ448" i="3" s="1"/>
  <c r="BL454" i="3"/>
  <c r="AZ454" i="3" s="1"/>
  <c r="BL457" i="3"/>
  <c r="BA462" i="3"/>
  <c r="BA463" i="3"/>
  <c r="AZ463" i="3" s="1"/>
  <c r="BA464" i="3"/>
  <c r="AZ464" i="3" s="1"/>
  <c r="BA466" i="3"/>
  <c r="AZ477" i="3"/>
  <c r="AZ483" i="3"/>
  <c r="AZ217" i="3"/>
  <c r="B71" i="43"/>
  <c r="B71" i="100"/>
  <c r="B60" i="100"/>
  <c r="B49" i="100"/>
  <c r="B81" i="43"/>
  <c r="B81" i="100"/>
  <c r="G566" i="3"/>
  <c r="BL550" i="3"/>
  <c r="BA550" i="3"/>
  <c r="BI5" i="3"/>
  <c r="BE5" i="3"/>
  <c r="BL15" i="3"/>
  <c r="AZ15" i="3" s="1"/>
  <c r="G407" i="3"/>
  <c r="G410" i="3"/>
  <c r="G411" i="3"/>
  <c r="G412" i="3"/>
  <c r="BL412" i="3"/>
  <c r="BL415" i="3"/>
  <c r="BA421" i="3"/>
  <c r="AZ421" i="3" s="1"/>
  <c r="BA423" i="3"/>
  <c r="AZ423" i="3" s="1"/>
  <c r="BA431" i="3"/>
  <c r="BA432" i="3"/>
  <c r="AZ432" i="3" s="1"/>
  <c r="BL435" i="3"/>
  <c r="AZ435" i="3" s="1"/>
  <c r="BL437" i="3"/>
  <c r="BL439" i="3"/>
  <c r="G440" i="3"/>
  <c r="BL442" i="3"/>
  <c r="AZ442" i="3" s="1"/>
  <c r="BL443" i="3"/>
  <c r="AZ443" i="3" s="1"/>
  <c r="BA450" i="3"/>
  <c r="BA452" i="3"/>
  <c r="AZ452" i="3" s="1"/>
  <c r="G459" i="3"/>
  <c r="BL459" i="3"/>
  <c r="AZ459" i="3" s="1"/>
  <c r="BL467" i="3"/>
  <c r="G468" i="3"/>
  <c r="BL468" i="3"/>
  <c r="AZ468" i="3" s="1"/>
  <c r="BL475" i="3"/>
  <c r="AZ475" i="3" s="1"/>
  <c r="AZ482" i="3"/>
  <c r="BQ5" i="3"/>
  <c r="BA398" i="3"/>
  <c r="AZ398" i="3" s="1"/>
  <c r="G401" i="3"/>
  <c r="BL401" i="3"/>
  <c r="BA404" i="3"/>
  <c r="AZ404" i="3" s="1"/>
  <c r="BL406" i="3"/>
  <c r="AZ406" i="3" s="1"/>
  <c r="BA413" i="3"/>
  <c r="AZ413" i="3" s="1"/>
  <c r="BA414" i="3"/>
  <c r="AZ414" i="3" s="1"/>
  <c r="G417" i="3"/>
  <c r="BL417" i="3"/>
  <c r="AZ417" i="3" s="1"/>
  <c r="BA420" i="3"/>
  <c r="AZ420" i="3" s="1"/>
  <c r="BL422" i="3"/>
  <c r="AZ422" i="3" s="1"/>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362" i="3"/>
  <c r="G378" i="3"/>
  <c r="BL383" i="3"/>
  <c r="AZ383" i="3" s="1"/>
  <c r="G208" i="3"/>
  <c r="BL208" i="3"/>
  <c r="AZ208" i="3" s="1"/>
  <c r="BA212" i="3"/>
  <c r="AZ212" i="3" s="1"/>
  <c r="BL214" i="3"/>
  <c r="AZ214" i="3" s="1"/>
  <c r="G220" i="3"/>
  <c r="BL220" i="3"/>
  <c r="AZ220" i="3" s="1"/>
  <c r="BA227" i="3"/>
  <c r="BA228" i="3"/>
  <c r="AZ228" i="3" s="1"/>
  <c r="BA229" i="3"/>
  <c r="AZ229" i="3" s="1"/>
  <c r="BA231" i="3"/>
  <c r="AZ231" i="3" s="1"/>
  <c r="BL233" i="3"/>
  <c r="G234" i="3"/>
  <c r="BL234" i="3"/>
  <c r="AZ234" i="3" s="1"/>
  <c r="BA244" i="3"/>
  <c r="AZ244" i="3" s="1"/>
  <c r="BA245" i="3"/>
  <c r="AZ245" i="3" s="1"/>
  <c r="G252" i="3"/>
  <c r="BA253" i="3"/>
  <c r="AZ253" i="3" s="1"/>
  <c r="BA255" i="3"/>
  <c r="AZ255" i="3" s="1"/>
  <c r="BA256" i="3"/>
  <c r="AZ256" i="3" s="1"/>
  <c r="BA257" i="3"/>
  <c r="AZ257" i="3" s="1"/>
  <c r="G263" i="3"/>
  <c r="BL263" i="3"/>
  <c r="AZ263" i="3" s="1"/>
  <c r="BL273" i="3"/>
  <c r="G274" i="3"/>
  <c r="BL274" i="3"/>
  <c r="AZ274" i="3" s="1"/>
  <c r="BL283" i="3"/>
  <c r="G284" i="3"/>
  <c r="BL284" i="3"/>
  <c r="BA293" i="3"/>
  <c r="AZ293" i="3" s="1"/>
  <c r="BA294" i="3"/>
  <c r="AZ294" i="3" s="1"/>
  <c r="BA295" i="3"/>
  <c r="AZ295" i="3" s="1"/>
  <c r="BA296" i="3"/>
  <c r="AZ296" i="3" s="1"/>
  <c r="BA298" i="3"/>
  <c r="AZ298" i="3" s="1"/>
  <c r="BA120" i="3"/>
  <c r="AZ120" i="3" s="1"/>
  <c r="BL125" i="3"/>
  <c r="BL127" i="3"/>
  <c r="AZ127" i="3" s="1"/>
  <c r="BL131" i="3"/>
  <c r="AZ131" i="3" s="1"/>
  <c r="BL134" i="3"/>
  <c r="G135" i="3"/>
  <c r="BA137" i="3"/>
  <c r="AZ137" i="3" s="1"/>
  <c r="G140" i="3"/>
  <c r="BA142" i="3"/>
  <c r="AZ142" i="3" s="1"/>
  <c r="BL145" i="3"/>
  <c r="G146" i="3"/>
  <c r="BA154" i="3"/>
  <c r="AZ154" i="3" s="1"/>
  <c r="BL157" i="3"/>
  <c r="AZ157" i="3" s="1"/>
  <c r="BL159" i="3"/>
  <c r="AZ159" i="3" s="1"/>
  <c r="BA160" i="3"/>
  <c r="AZ160" i="3" s="1"/>
  <c r="BL163" i="3"/>
  <c r="AZ163" i="3" s="1"/>
  <c r="G164" i="3"/>
  <c r="BA174" i="3"/>
  <c r="BA186" i="3"/>
  <c r="AZ186" i="3" s="1"/>
  <c r="BL199" i="3"/>
  <c r="AZ199" i="3" s="1"/>
  <c r="BA200" i="3"/>
  <c r="AZ200" i="3" s="1"/>
  <c r="BL480" i="3"/>
  <c r="BA484" i="3"/>
  <c r="BA485" i="3"/>
  <c r="AZ485" i="3" s="1"/>
  <c r="BL487" i="3"/>
  <c r="BA492" i="3"/>
  <c r="AZ492" i="3" s="1"/>
  <c r="BL316" i="3"/>
  <c r="AZ316" i="3" s="1"/>
  <c r="BL332" i="3"/>
  <c r="AZ332" i="3" s="1"/>
  <c r="BL346" i="3"/>
  <c r="AZ346" i="3" s="1"/>
  <c r="BA350" i="3"/>
  <c r="AZ350" i="3" s="1"/>
  <c r="BA368" i="3"/>
  <c r="BA385" i="3"/>
  <c r="AZ385" i="3" s="1"/>
  <c r="BA388" i="3"/>
  <c r="AZ388" i="3" s="1"/>
  <c r="BA392" i="3"/>
  <c r="AZ392" i="3" s="1"/>
  <c r="BL395" i="3"/>
  <c r="AZ395" i="3" s="1"/>
  <c r="BL211" i="3"/>
  <c r="AZ211" i="3" s="1"/>
  <c r="BL217" i="3"/>
  <c r="BA221" i="3"/>
  <c r="BA222" i="3"/>
  <c r="AZ222" i="3" s="1"/>
  <c r="BA223" i="3"/>
  <c r="AZ223" i="3" s="1"/>
  <c r="BL226" i="3"/>
  <c r="AZ226" i="3" s="1"/>
  <c r="BL227" i="3"/>
  <c r="BA233" i="3"/>
  <c r="AZ233" i="3" s="1"/>
  <c r="BA264" i="3"/>
  <c r="AZ264" i="3" s="1"/>
  <c r="BA265" i="3"/>
  <c r="AZ265" i="3" s="1"/>
  <c r="BA273" i="3"/>
  <c r="AZ273" i="3" s="1"/>
  <c r="BA283" i="3"/>
  <c r="BA285" i="3"/>
  <c r="AZ285" i="3" s="1"/>
  <c r="BL291" i="3"/>
  <c r="AZ291" i="3" s="1"/>
  <c r="BL293" i="3"/>
  <c r="BL117" i="3"/>
  <c r="AZ117" i="3" s="1"/>
  <c r="BL119" i="3"/>
  <c r="AZ119" i="3" s="1"/>
  <c r="AZ125" i="3"/>
  <c r="AZ126" i="3"/>
  <c r="AZ129" i="3"/>
  <c r="BA134" i="3"/>
  <c r="AZ134" i="3" s="1"/>
  <c r="BA145" i="3"/>
  <c r="AZ145" i="3" s="1"/>
  <c r="BA158" i="3"/>
  <c r="BA170" i="3"/>
  <c r="AZ170" i="3" s="1"/>
  <c r="BL173" i="3"/>
  <c r="BA176" i="3"/>
  <c r="AZ176" i="3" s="1"/>
  <c r="BA198" i="3"/>
  <c r="AZ23" i="3"/>
  <c r="AZ48" i="3"/>
  <c r="BL473" i="3"/>
  <c r="BA478" i="3"/>
  <c r="AZ478" i="3" s="1"/>
  <c r="BA479" i="3"/>
  <c r="AZ479" i="3" s="1"/>
  <c r="BL481" i="3"/>
  <c r="AZ481" i="3" s="1"/>
  <c r="BL490" i="3"/>
  <c r="BA317" i="3"/>
  <c r="AZ317" i="3" s="1"/>
  <c r="BA333" i="3"/>
  <c r="AZ333" i="3" s="1"/>
  <c r="BA348" i="3"/>
  <c r="AZ348" i="3" s="1"/>
  <c r="BA349" i="3"/>
  <c r="AZ349" i="3" s="1"/>
  <c r="BA366" i="3"/>
  <c r="AZ366" i="3" s="1"/>
  <c r="BL393" i="3"/>
  <c r="AZ393" i="3" s="1"/>
  <c r="BL396" i="3"/>
  <c r="AZ396" i="3" s="1"/>
  <c r="BA210" i="3"/>
  <c r="AZ210" i="3" s="1"/>
  <c r="BL213" i="3"/>
  <c r="BA216" i="3"/>
  <c r="AZ216" i="3" s="1"/>
  <c r="BL218" i="3"/>
  <c r="AZ218" i="3" s="1"/>
  <c r="BA225" i="3"/>
  <c r="AZ225" i="3" s="1"/>
  <c r="BA232" i="3"/>
  <c r="AZ232" i="3" s="1"/>
  <c r="BA238" i="3"/>
  <c r="BA239" i="3"/>
  <c r="AZ239" i="3" s="1"/>
  <c r="BA240" i="3"/>
  <c r="AZ240" i="3" s="1"/>
  <c r="BA241" i="3"/>
  <c r="AZ241" i="3" s="1"/>
  <c r="BL246" i="3"/>
  <c r="AZ246" i="3" s="1"/>
  <c r="BL250" i="3"/>
  <c r="BL252" i="3"/>
  <c r="AZ252" i="3" s="1"/>
  <c r="BL258" i="3"/>
  <c r="AZ258" i="3" s="1"/>
  <c r="BL259" i="3"/>
  <c r="AZ259" i="3" s="1"/>
  <c r="BA270" i="3"/>
  <c r="AZ270" i="3" s="1"/>
  <c r="BA272" i="3"/>
  <c r="AZ272" i="3" s="1"/>
  <c r="BA277" i="3"/>
  <c r="AZ277" i="3" s="1"/>
  <c r="BA278" i="3"/>
  <c r="AZ278" i="3" s="1"/>
  <c r="BA279" i="3"/>
  <c r="AZ279" i="3" s="1"/>
  <c r="BA280" i="3"/>
  <c r="AZ280" i="3" s="1"/>
  <c r="BA282" i="3"/>
  <c r="AZ282" i="3" s="1"/>
  <c r="BA287" i="3"/>
  <c r="AZ287" i="3" s="1"/>
  <c r="BA289" i="3"/>
  <c r="AZ289" i="3" s="1"/>
  <c r="BA299" i="3"/>
  <c r="AZ299" i="3" s="1"/>
  <c r="BA301" i="3"/>
  <c r="AZ301" i="3" s="1"/>
  <c r="BA302" i="3"/>
  <c r="AZ302" i="3" s="1"/>
  <c r="BA113" i="3"/>
  <c r="AZ113" i="3" s="1"/>
  <c r="BA114" i="3"/>
  <c r="AZ114" i="3" s="1"/>
  <c r="BA122" i="3"/>
  <c r="BA124" i="3"/>
  <c r="AZ124" i="3" s="1"/>
  <c r="BA138" i="3"/>
  <c r="AZ138" i="3" s="1"/>
  <c r="BL141" i="3"/>
  <c r="AZ141" i="3" s="1"/>
  <c r="BL146" i="3"/>
  <c r="AZ146" i="3" s="1"/>
  <c r="BA148" i="3"/>
  <c r="AZ148" i="3" s="1"/>
  <c r="BA180" i="3"/>
  <c r="AZ180" i="3" s="1"/>
  <c r="G229" i="3"/>
  <c r="G230" i="3"/>
  <c r="BL230" i="3"/>
  <c r="AZ230" i="3" s="1"/>
  <c r="BA236" i="3"/>
  <c r="AZ236" i="3" s="1"/>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BA292" i="3"/>
  <c r="AZ292" i="3" s="1"/>
  <c r="G295" i="3"/>
  <c r="G296" i="3"/>
  <c r="G297" i="3"/>
  <c r="BL297" i="3"/>
  <c r="BA118" i="3"/>
  <c r="AZ118" i="3" s="1"/>
  <c r="BA121" i="3"/>
  <c r="AZ121" i="3" s="1"/>
  <c r="G124" i="3"/>
  <c r="G127" i="3"/>
  <c r="G130" i="3"/>
  <c r="G131" i="3"/>
  <c r="BL133" i="3"/>
  <c r="AZ133" i="3" s="1"/>
  <c r="BL135" i="3"/>
  <c r="AZ135" i="3" s="1"/>
  <c r="BL139" i="3"/>
  <c r="AZ139" i="3" s="1"/>
  <c r="BL143" i="3"/>
  <c r="AZ143" i="3" s="1"/>
  <c r="BL149" i="3"/>
  <c r="BA156" i="3"/>
  <c r="AZ156" i="3" s="1"/>
  <c r="G160" i="3"/>
  <c r="BL162" i="3"/>
  <c r="AZ162" i="3" s="1"/>
  <c r="BL165" i="3"/>
  <c r="BA172" i="3"/>
  <c r="AZ172" i="3" s="1"/>
  <c r="G176" i="3"/>
  <c r="BL178" i="3"/>
  <c r="AZ178" i="3" s="1"/>
  <c r="BL181" i="3"/>
  <c r="BA188" i="3"/>
  <c r="AZ188" i="3" s="1"/>
  <c r="BA192" i="3"/>
  <c r="AZ192" i="3" s="1"/>
  <c r="BA201" i="3"/>
  <c r="AZ201" i="3" s="1"/>
  <c r="BL205" i="3"/>
  <c r="G206" i="3"/>
  <c r="G19" i="3"/>
  <c r="BL19" i="3"/>
  <c r="BL20" i="3"/>
  <c r="AZ20" i="3" s="1"/>
  <c r="BL22" i="3"/>
  <c r="G23" i="3"/>
  <c r="BL23" i="3"/>
  <c r="BL34" i="3"/>
  <c r="G35" i="3"/>
  <c r="BL35" i="3"/>
  <c r="BA43" i="3"/>
  <c r="BA44" i="3"/>
  <c r="BA45" i="3"/>
  <c r="AZ45" i="3" s="1"/>
  <c r="G49" i="3"/>
  <c r="BL49" i="3"/>
  <c r="AZ49" i="3" s="1"/>
  <c r="BL50" i="3"/>
  <c r="AZ50" i="3" s="1"/>
  <c r="BL52" i="3"/>
  <c r="G53" i="3"/>
  <c r="BL55" i="3"/>
  <c r="AZ55" i="3" s="1"/>
  <c r="BL57" i="3"/>
  <c r="BL59" i="3"/>
  <c r="AZ59" i="3" s="1"/>
  <c r="BL63" i="3"/>
  <c r="AZ63" i="3" s="1"/>
  <c r="BL66" i="3"/>
  <c r="AZ66" i="3" s="1"/>
  <c r="BL68" i="3"/>
  <c r="BA70" i="3"/>
  <c r="AZ70" i="3" s="1"/>
  <c r="BA72" i="3"/>
  <c r="AZ72" i="3" s="1"/>
  <c r="BA73" i="3"/>
  <c r="AZ73" i="3" s="1"/>
  <c r="BA74" i="3"/>
  <c r="AZ74" i="3" s="1"/>
  <c r="BA75" i="3"/>
  <c r="AZ75" i="3" s="1"/>
  <c r="BA77" i="3"/>
  <c r="AZ77" i="3" s="1"/>
  <c r="BL83" i="3"/>
  <c r="BL87" i="3"/>
  <c r="BA91" i="3"/>
  <c r="AZ91" i="3" s="1"/>
  <c r="BL97" i="3"/>
  <c r="BL103" i="3"/>
  <c r="BA205" i="3"/>
  <c r="AZ205" i="3" s="1"/>
  <c r="BA22" i="3"/>
  <c r="BA34" i="3"/>
  <c r="BL42" i="3"/>
  <c r="AZ42" i="3" s="1"/>
  <c r="BL43" i="3"/>
  <c r="BA52" i="3"/>
  <c r="AZ60" i="3"/>
  <c r="AZ64" i="3"/>
  <c r="I15" i="66"/>
  <c r="BA152" i="3"/>
  <c r="AZ152" i="3" s="1"/>
  <c r="BL158" i="3"/>
  <c r="BL161" i="3"/>
  <c r="AZ161" i="3" s="1"/>
  <c r="BA168" i="3"/>
  <c r="AZ168" i="3" s="1"/>
  <c r="BL174" i="3"/>
  <c r="BL177" i="3"/>
  <c r="AZ177" i="3" s="1"/>
  <c r="BA184" i="3"/>
  <c r="AZ184" i="3" s="1"/>
  <c r="BL194" i="3"/>
  <c r="BL197" i="3"/>
  <c r="AZ197" i="3" s="1"/>
  <c r="BL198" i="3"/>
  <c r="BA204" i="3"/>
  <c r="AZ204" i="3" s="1"/>
  <c r="BL206" i="3"/>
  <c r="BL207" i="3"/>
  <c r="AZ207" i="3" s="1"/>
  <c r="BA26" i="3"/>
  <c r="AZ26" i="3" s="1"/>
  <c r="BA27" i="3"/>
  <c r="AZ27" i="3" s="1"/>
  <c r="BA28" i="3"/>
  <c r="AZ28" i="3" s="1"/>
  <c r="BA29" i="3"/>
  <c r="AZ29" i="3" s="1"/>
  <c r="BL32" i="3"/>
  <c r="AZ32" i="3" s="1"/>
  <c r="BL33" i="3"/>
  <c r="AZ33" i="3" s="1"/>
  <c r="BA38" i="3"/>
  <c r="AZ38" i="3" s="1"/>
  <c r="BA40" i="3"/>
  <c r="AZ40" i="3" s="1"/>
  <c r="BL47" i="3"/>
  <c r="AZ47" i="3" s="1"/>
  <c r="BL53" i="3"/>
  <c r="AZ53" i="3" s="1"/>
  <c r="BL54" i="3"/>
  <c r="BL69" i="3"/>
  <c r="BL78" i="3"/>
  <c r="BA80" i="3"/>
  <c r="BL84" i="3"/>
  <c r="BL86" i="3"/>
  <c r="BL88" i="3"/>
  <c r="BL90" i="3"/>
  <c r="BA101" i="3"/>
  <c r="AZ108" i="3"/>
  <c r="I10" i="66"/>
  <c r="I21" i="66" s="1"/>
  <c r="G61" i="3"/>
  <c r="G62" i="3"/>
  <c r="BL62" i="3"/>
  <c r="AZ62" i="3" s="1"/>
  <c r="BL67" i="3"/>
  <c r="AZ67" i="3" s="1"/>
  <c r="G74" i="3"/>
  <c r="G75" i="3"/>
  <c r="G76" i="3"/>
  <c r="BL76" i="3"/>
  <c r="AZ76" i="3" s="1"/>
  <c r="BA78" i="3"/>
  <c r="BA79" i="3"/>
  <c r="AZ79" i="3" s="1"/>
  <c r="BA90" i="3"/>
  <c r="G93" i="3"/>
  <c r="G94" i="3"/>
  <c r="G95" i="3"/>
  <c r="BL95" i="3"/>
  <c r="BL102" i="3"/>
  <c r="AZ102" i="3" s="1"/>
  <c r="G107" i="3"/>
  <c r="BL107" i="3"/>
  <c r="BA92" i="3"/>
  <c r="AZ92" i="3" s="1"/>
  <c r="BA93" i="3"/>
  <c r="AZ93" i="3" s="1"/>
  <c r="BA94" i="3"/>
  <c r="AZ94" i="3" s="1"/>
  <c r="BL98" i="3"/>
  <c r="AZ98" i="3" s="1"/>
  <c r="BL104" i="3"/>
  <c r="AZ104" i="3" s="1"/>
  <c r="BA106" i="3"/>
  <c r="AZ106" i="3" s="1"/>
  <c r="BA112" i="3"/>
  <c r="AZ112" i="3" s="1"/>
  <c r="C7" i="83"/>
  <c r="C59" i="83" s="1"/>
  <c r="D59" i="83" s="1"/>
  <c r="G19" i="100"/>
  <c r="C7" i="94"/>
  <c r="C7" i="92"/>
  <c r="C59" i="92" s="1"/>
  <c r="M47" i="90"/>
  <c r="M47" i="89"/>
  <c r="C7" i="87"/>
  <c r="C7" i="86"/>
  <c r="C59" i="86" s="1"/>
  <c r="I20" i="66"/>
  <c r="D1" i="66" s="1"/>
  <c r="E10" i="66" s="1"/>
  <c r="BL189" i="3"/>
  <c r="AZ189" i="3" s="1"/>
  <c r="BA196" i="3"/>
  <c r="AZ196" i="3" s="1"/>
  <c r="G200" i="3"/>
  <c r="BL202" i="3"/>
  <c r="AZ202" i="3" s="1"/>
  <c r="BL21" i="3"/>
  <c r="AZ21" i="3" s="1"/>
  <c r="BA25" i="3"/>
  <c r="AZ25" i="3" s="1"/>
  <c r="G28" i="3"/>
  <c r="G29" i="3"/>
  <c r="G30" i="3"/>
  <c r="BL30" i="3"/>
  <c r="AZ30" i="3" s="1"/>
  <c r="BA36" i="3"/>
  <c r="AZ36" i="3" s="1"/>
  <c r="BA37" i="3"/>
  <c r="AZ37" i="3" s="1"/>
  <c r="BL39" i="3"/>
  <c r="AZ39" i="3" s="1"/>
  <c r="G45" i="3"/>
  <c r="G46" i="3"/>
  <c r="BL46" i="3"/>
  <c r="BL51" i="3"/>
  <c r="AZ51" i="3" s="1"/>
  <c r="BA56" i="3"/>
  <c r="BL58" i="3"/>
  <c r="AZ58" i="3" s="1"/>
  <c r="G65" i="3"/>
  <c r="BL65" i="3"/>
  <c r="AZ65" i="3" s="1"/>
  <c r="BA68" i="3"/>
  <c r="BA69" i="3"/>
  <c r="BL71" i="3"/>
  <c r="BA81" i="3"/>
  <c r="AZ81" i="3" s="1"/>
  <c r="BA82" i="3"/>
  <c r="AZ82" i="3" s="1"/>
  <c r="BA83" i="3"/>
  <c r="AZ83" i="3" s="1"/>
  <c r="BL85" i="3"/>
  <c r="AZ85" i="3" s="1"/>
  <c r="BA87" i="3"/>
  <c r="BL89" i="3"/>
  <c r="AZ89" i="3" s="1"/>
  <c r="BA96" i="3"/>
  <c r="AZ96" i="3" s="1"/>
  <c r="BA97" i="3"/>
  <c r="AZ97" i="3" s="1"/>
  <c r="G100" i="3"/>
  <c r="BL100" i="3"/>
  <c r="AZ100" i="3" s="1"/>
  <c r="BA103" i="3"/>
  <c r="BL105" i="3"/>
  <c r="AZ105" i="3" s="1"/>
  <c r="G109" i="3"/>
  <c r="G110" i="3"/>
  <c r="G111" i="3"/>
  <c r="BL111" i="3"/>
  <c r="AZ111" i="3" s="1"/>
  <c r="J51" i="15"/>
  <c r="C51" i="10"/>
  <c r="A13" i="51" s="1"/>
  <c r="B11" i="72" s="1"/>
  <c r="A118" i="90"/>
  <c r="A2" i="89"/>
  <c r="A2" i="90"/>
  <c r="A118" i="89"/>
  <c r="L100" i="43"/>
  <c r="M20" i="15"/>
  <c r="F34" i="88"/>
  <c r="F62" i="88" s="1"/>
  <c r="M20" i="88"/>
  <c r="F34" i="78"/>
  <c r="F62" i="78" s="1"/>
  <c r="M20" i="78"/>
  <c r="F34" i="77"/>
  <c r="F62" i="77" s="1"/>
  <c r="M20" i="77"/>
  <c r="G20" i="43"/>
  <c r="C20" i="43" s="1"/>
  <c r="H87" i="43"/>
  <c r="H82" i="43"/>
  <c r="G1" i="88"/>
  <c r="M9" i="1"/>
  <c r="O9" i="1" s="1"/>
  <c r="P9" i="1" s="1"/>
  <c r="U43" i="33"/>
  <c r="J41" i="33"/>
  <c r="W33" i="33"/>
  <c r="S26" i="33"/>
  <c r="S41" i="33"/>
  <c r="S38" i="33"/>
  <c r="U35" i="33"/>
  <c r="AB26" i="33"/>
  <c r="D3" i="86"/>
  <c r="D3" i="87"/>
  <c r="G14" i="3"/>
  <c r="E8" i="6"/>
  <c r="F27" i="6" s="1"/>
  <c r="F29" i="6"/>
  <c r="F9" i="1"/>
  <c r="G9" i="1" s="1"/>
  <c r="M8" i="1"/>
  <c r="O8" i="1" s="1"/>
  <c r="P8" i="1" s="1"/>
  <c r="F3" i="35"/>
  <c r="G1" i="78"/>
  <c r="G1" i="77"/>
  <c r="A15" i="62"/>
  <c r="B61" i="72" s="1"/>
  <c r="H74" i="43"/>
  <c r="H75" i="43"/>
  <c r="D93" i="9"/>
  <c r="K6" i="1"/>
  <c r="G29" i="6"/>
  <c r="AC26" i="33"/>
  <c r="W26" i="33"/>
  <c r="W27" i="34"/>
  <c r="AC27" i="34"/>
  <c r="AB34" i="36"/>
  <c r="U34" i="36"/>
  <c r="AB33" i="36"/>
  <c r="U33" i="36"/>
  <c r="AC12" i="39"/>
  <c r="W12" i="39"/>
  <c r="AC39" i="40"/>
  <c r="W39" i="40"/>
  <c r="AZ401" i="3"/>
  <c r="AZ412" i="3"/>
  <c r="AZ428" i="3"/>
  <c r="AZ433" i="3"/>
  <c r="AZ465" i="3"/>
  <c r="W12" i="33"/>
  <c r="AC12" i="33"/>
  <c r="AA32" i="36"/>
  <c r="S32" i="36"/>
  <c r="AZ551" i="3"/>
  <c r="AZ408" i="3"/>
  <c r="AZ441" i="3"/>
  <c r="AZ457" i="3"/>
  <c r="AZ473" i="3"/>
  <c r="AZ490" i="3"/>
  <c r="AA39" i="34"/>
  <c r="BL14" i="3"/>
  <c r="U30" i="33"/>
  <c r="AC13" i="34"/>
  <c r="AA47" i="34"/>
  <c r="W28" i="37"/>
  <c r="S19" i="39"/>
  <c r="F12" i="33"/>
  <c r="H12" i="39"/>
  <c r="AB12" i="39" s="1"/>
  <c r="F39" i="40"/>
  <c r="BA14" i="3"/>
  <c r="AZ213" i="3"/>
  <c r="AZ224" i="3"/>
  <c r="AZ238" i="3"/>
  <c r="AZ250" i="3"/>
  <c r="AZ254" i="3"/>
  <c r="AZ281" i="3"/>
  <c r="AZ297" i="3"/>
  <c r="AZ149" i="3"/>
  <c r="AZ165" i="3"/>
  <c r="AZ181" i="3"/>
  <c r="AZ19" i="3"/>
  <c r="AZ35" i="3"/>
  <c r="AZ41" i="3"/>
  <c r="S12" i="1"/>
  <c r="AQ12" i="1" s="1"/>
  <c r="R12" i="1"/>
  <c r="B12" i="1"/>
  <c r="E12" i="1" s="1"/>
  <c r="B10" i="1"/>
  <c r="E10" i="1" s="1"/>
  <c r="AZ80" i="3"/>
  <c r="AZ84" i="3"/>
  <c r="AZ107"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BL17" i="3"/>
  <c r="AZ17" i="3" s="1"/>
  <c r="BL13" i="3"/>
  <c r="J56" i="9"/>
  <c r="J57" i="9" s="1"/>
  <c r="A24" i="51"/>
  <c r="B18" i="72" s="1"/>
  <c r="U29" i="34"/>
  <c r="E5" i="6"/>
  <c r="D9" i="11" s="1"/>
  <c r="C9" i="11" s="1"/>
  <c r="P10" i="1"/>
  <c r="E32" i="6"/>
  <c r="L19" i="6" s="1"/>
  <c r="G1" i="68"/>
  <c r="K1" i="12"/>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AZ71" i="3" l="1"/>
  <c r="AZ46" i="3"/>
  <c r="AZ101" i="3"/>
  <c r="AZ86" i="3"/>
  <c r="AZ57" i="3"/>
  <c r="AZ44" i="3"/>
  <c r="AZ288" i="3"/>
  <c r="AZ368" i="3"/>
  <c r="AZ484" i="3"/>
  <c r="AZ573" i="3"/>
  <c r="AZ190" i="3"/>
  <c r="AZ150" i="3"/>
  <c r="AZ275" i="3"/>
  <c r="AZ300" i="3"/>
  <c r="AZ501" i="3"/>
  <c r="AZ520" i="3"/>
  <c r="AZ219" i="3"/>
  <c r="AZ397" i="3"/>
  <c r="AZ567" i="3"/>
  <c r="AC36" i="35"/>
  <c r="W36" i="35"/>
  <c r="AC34" i="35"/>
  <c r="W34" i="35"/>
  <c r="AC23" i="35"/>
  <c r="W23" i="35"/>
  <c r="AA29" i="21"/>
  <c r="U25" i="36"/>
  <c r="C6" i="43"/>
  <c r="S26" i="37"/>
  <c r="S23" i="35"/>
  <c r="W39" i="33"/>
  <c r="AZ103" i="3"/>
  <c r="AZ78" i="3"/>
  <c r="AZ54" i="3"/>
  <c r="AZ206" i="3"/>
  <c r="AZ194" i="3"/>
  <c r="AZ122" i="3"/>
  <c r="AZ198" i="3"/>
  <c r="AZ158" i="3"/>
  <c r="AZ221" i="3"/>
  <c r="AZ480" i="3"/>
  <c r="AZ462" i="3"/>
  <c r="AZ447" i="3"/>
  <c r="AZ539" i="3"/>
  <c r="AZ513" i="3"/>
  <c r="U44" i="39"/>
  <c r="AZ543" i="3"/>
  <c r="AB12" i="21"/>
  <c r="U12" i="21"/>
  <c r="AZ495" i="3"/>
  <c r="AZ504" i="3"/>
  <c r="S12" i="34"/>
  <c r="AA12" i="34"/>
  <c r="AC44" i="21"/>
  <c r="W44" i="21"/>
  <c r="AZ56" i="3"/>
  <c r="AZ487" i="3"/>
  <c r="AZ431" i="3"/>
  <c r="AZ550" i="3"/>
  <c r="AZ466" i="3"/>
  <c r="E13" i="6"/>
  <c r="E58" i="40" s="1"/>
  <c r="AC40" i="40"/>
  <c r="AZ560" i="3"/>
  <c r="S12" i="35"/>
  <c r="AA12" i="35"/>
  <c r="AC44" i="39"/>
  <c r="W44" i="39"/>
  <c r="AZ499" i="3"/>
  <c r="AZ506" i="3"/>
  <c r="AZ512" i="3"/>
  <c r="AZ524" i="3"/>
  <c r="AA44" i="39"/>
  <c r="S44" i="39"/>
  <c r="AZ587" i="3"/>
  <c r="W28" i="21"/>
  <c r="AC28" i="21"/>
  <c r="E59" i="83"/>
  <c r="F59" i="83" s="1"/>
  <c r="G59" i="83" s="1"/>
  <c r="H59" i="83" s="1"/>
  <c r="I59" i="83" s="1"/>
  <c r="J59" i="83" s="1"/>
  <c r="K59" i="83" s="1"/>
  <c r="L59" i="83" s="1"/>
  <c r="M59" i="83" s="1"/>
  <c r="N59" i="83" s="1"/>
  <c r="O59" i="83" s="1"/>
  <c r="C78" i="89"/>
  <c r="U25" i="37"/>
  <c r="AB25" i="37"/>
  <c r="W33" i="36"/>
  <c r="AC33" i="36"/>
  <c r="S14" i="37"/>
  <c r="AA14" i="37"/>
  <c r="C77" i="90"/>
  <c r="C74" i="90" s="1"/>
  <c r="C77" i="89"/>
  <c r="C74" i="89" s="1"/>
  <c r="C72" i="89"/>
  <c r="C85" i="89"/>
  <c r="C85" i="90"/>
  <c r="C72" i="90"/>
  <c r="C63" i="90"/>
  <c r="C67" i="90" s="1"/>
  <c r="C68" i="90" s="1"/>
  <c r="D54" i="90" s="1"/>
  <c r="C63" i="89"/>
  <c r="C67" i="89" s="1"/>
  <c r="C68" i="89" s="1"/>
  <c r="D54" i="89" s="1"/>
  <c r="AA11" i="34"/>
  <c r="S31" i="40"/>
  <c r="E10" i="6"/>
  <c r="E16" i="6" s="1"/>
  <c r="U12" i="39"/>
  <c r="E28" i="6"/>
  <c r="E15" i="6"/>
  <c r="AZ69" i="3"/>
  <c r="D59" i="86"/>
  <c r="E59" i="86" s="1"/>
  <c r="F59" i="86" s="1"/>
  <c r="G59" i="86" s="1"/>
  <c r="H59" i="86" s="1"/>
  <c r="I59" i="86" s="1"/>
  <c r="J59" i="86" s="1"/>
  <c r="K59" i="86" s="1"/>
  <c r="L59" i="86" s="1"/>
  <c r="M59" i="86" s="1"/>
  <c r="N59" i="86" s="1"/>
  <c r="O59" i="86" s="1"/>
  <c r="J7" i="86"/>
  <c r="D59" i="92"/>
  <c r="E59" i="92" s="1"/>
  <c r="F59" i="92" s="1"/>
  <c r="G59" i="92" s="1"/>
  <c r="H59" i="92" s="1"/>
  <c r="I59" i="92" s="1"/>
  <c r="J59" i="92" s="1"/>
  <c r="K59" i="92" s="1"/>
  <c r="L59" i="92" s="1"/>
  <c r="M59" i="92" s="1"/>
  <c r="N59" i="92" s="1"/>
  <c r="O59" i="92" s="1"/>
  <c r="H7" i="92"/>
  <c r="AZ283" i="3"/>
  <c r="AZ467" i="3"/>
  <c r="C93" i="89"/>
  <c r="C86" i="89" s="1"/>
  <c r="AA31" i="39"/>
  <c r="S31" i="39"/>
  <c r="U30" i="21"/>
  <c r="AB30" i="21"/>
  <c r="W32" i="36"/>
  <c r="AC32" i="36"/>
  <c r="AC36" i="39"/>
  <c r="W36" i="39"/>
  <c r="AA28" i="34"/>
  <c r="S28" i="34"/>
  <c r="W46" i="21"/>
  <c r="AC46" i="21"/>
  <c r="AB39" i="37"/>
  <c r="U39" i="37"/>
  <c r="U13" i="34"/>
  <c r="AB13" i="34"/>
  <c r="AB44" i="33"/>
  <c r="E51" i="40"/>
  <c r="AZ14" i="3"/>
  <c r="E12" i="6"/>
  <c r="AZ68" i="3"/>
  <c r="C59" i="87"/>
  <c r="D59" i="87" s="1"/>
  <c r="E59" i="87" s="1"/>
  <c r="F59" i="87" s="1"/>
  <c r="G59" i="87" s="1"/>
  <c r="H59" i="87" s="1"/>
  <c r="I59" i="87" s="1"/>
  <c r="J59" i="87" s="1"/>
  <c r="K59" i="87" s="1"/>
  <c r="L59" i="87" s="1"/>
  <c r="M59" i="87" s="1"/>
  <c r="N59" i="87" s="1"/>
  <c r="O59" i="87" s="1"/>
  <c r="E7" i="87"/>
  <c r="G7" i="87"/>
  <c r="I7" i="87"/>
  <c r="C58" i="94"/>
  <c r="D58" i="94" s="1"/>
  <c r="E58" i="94" s="1"/>
  <c r="F58" i="94" s="1"/>
  <c r="G58" i="94" s="1"/>
  <c r="H58" i="94" s="1"/>
  <c r="I58" i="94" s="1"/>
  <c r="J58" i="94" s="1"/>
  <c r="K58" i="94" s="1"/>
  <c r="L58" i="94" s="1"/>
  <c r="M58" i="94" s="1"/>
  <c r="N58" i="94" s="1"/>
  <c r="O58" i="94" s="1"/>
  <c r="E7" i="94"/>
  <c r="I7" i="94"/>
  <c r="G7" i="94"/>
  <c r="AZ34" i="3"/>
  <c r="AZ43" i="3"/>
  <c r="C93" i="90"/>
  <c r="C86" i="90" s="1"/>
  <c r="W13" i="36"/>
  <c r="AC13" i="36"/>
  <c r="S36" i="39"/>
  <c r="AA36" i="39"/>
  <c r="AC40" i="37"/>
  <c r="W40" i="37"/>
  <c r="U25" i="35"/>
  <c r="W17" i="21"/>
  <c r="E11" i="6"/>
  <c r="E61" i="39" s="1"/>
  <c r="G5" i="3"/>
  <c r="B3" i="3" s="1"/>
  <c r="AC13" i="37"/>
  <c r="S25" i="37"/>
  <c r="F53" i="9"/>
  <c r="F52" i="90"/>
  <c r="F32" i="88"/>
  <c r="F60" i="88" s="1"/>
  <c r="F54" i="90"/>
  <c r="D68" i="89"/>
  <c r="F53" i="89"/>
  <c r="F28" i="88"/>
  <c r="C28" i="88" s="1"/>
  <c r="M18" i="88"/>
  <c r="D68" i="90"/>
  <c r="F54" i="89"/>
  <c r="F53" i="90"/>
  <c r="F52" i="89"/>
  <c r="D52" i="89"/>
  <c r="D53" i="89"/>
  <c r="D53" i="90"/>
  <c r="D52" i="90"/>
  <c r="F28" i="78"/>
  <c r="C28" i="78" s="1"/>
  <c r="M18" i="77"/>
  <c r="M18" i="78"/>
  <c r="F32" i="78"/>
  <c r="F60" i="78" s="1"/>
  <c r="F28" i="77"/>
  <c r="F32" i="77"/>
  <c r="F60" i="77" s="1"/>
  <c r="AZ87" i="3"/>
  <c r="P25" i="100"/>
  <c r="P24" i="100"/>
  <c r="P21" i="100"/>
  <c r="O19" i="100"/>
  <c r="C19" i="100" s="1"/>
  <c r="P23" i="100"/>
  <c r="M20" i="100"/>
  <c r="P22" i="100"/>
  <c r="AZ90" i="3"/>
  <c r="AZ52" i="3"/>
  <c r="AZ22" i="3"/>
  <c r="AZ5" i="3" s="1"/>
  <c r="AY6" i="3" s="1"/>
  <c r="AZ174" i="3"/>
  <c r="AZ227" i="3"/>
  <c r="AZ450" i="3"/>
  <c r="AZ439" i="3"/>
  <c r="C78" i="90"/>
  <c r="AB38" i="40"/>
  <c r="U38" i="40"/>
  <c r="AC26" i="37"/>
  <c r="W26" i="37"/>
  <c r="AZ585" i="3"/>
  <c r="AC14" i="37"/>
  <c r="W14" i="37"/>
  <c r="AC47" i="34"/>
  <c r="W47" i="34"/>
  <c r="S14" i="33"/>
  <c r="AA14" i="33"/>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B71" i="72" s="1"/>
  <c r="G30" i="6"/>
  <c r="G31" i="6" s="1"/>
  <c r="E56" i="39"/>
  <c r="F31" i="6"/>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AR11" i="1"/>
  <c r="E59" i="40"/>
  <c r="D68" i="39"/>
  <c r="D70" i="39" s="1"/>
  <c r="P24" i="43"/>
  <c r="B66" i="40" s="1"/>
  <c r="C28" i="15"/>
  <c r="E30" i="6"/>
  <c r="K15"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D19" i="12"/>
  <c r="F31" i="77"/>
  <c r="F26" i="15"/>
  <c r="F42" i="67"/>
  <c r="C76" i="78"/>
  <c r="F40" i="67"/>
  <c r="M8" i="88"/>
  <c r="F38" i="77"/>
  <c r="M27" i="88"/>
  <c r="F26" i="78"/>
  <c r="M9" i="67"/>
  <c r="F37" i="15"/>
  <c r="M23" i="77"/>
  <c r="L47" i="88"/>
  <c r="F8" i="78"/>
  <c r="L48" i="15"/>
  <c r="L48" i="78"/>
  <c r="M26" i="88"/>
  <c r="M26" i="77"/>
  <c r="F9" i="15"/>
  <c r="F26" i="88"/>
  <c r="M28" i="78"/>
  <c r="F8" i="15"/>
  <c r="C76" i="88"/>
  <c r="F41" i="77"/>
  <c r="M26" i="15"/>
  <c r="F36" i="67"/>
  <c r="F6" i="15"/>
  <c r="F59" i="77"/>
  <c r="F7" i="15"/>
  <c r="F16" i="78"/>
  <c r="L47" i="67"/>
  <c r="F42" i="88"/>
  <c r="M23" i="88"/>
  <c r="M28" i="67"/>
  <c r="F7" i="88"/>
  <c r="F42" i="78"/>
  <c r="F31" i="88"/>
  <c r="F40" i="15"/>
  <c r="M8" i="78"/>
  <c r="M6" i="78"/>
  <c r="F7" i="78"/>
  <c r="M24" i="88"/>
  <c r="L47" i="78"/>
  <c r="J15" i="78"/>
  <c r="F26" i="77"/>
  <c r="F40" i="77"/>
  <c r="F59" i="88"/>
  <c r="F42" i="77"/>
  <c r="M9" i="77"/>
  <c r="F37" i="78"/>
  <c r="M24" i="77"/>
  <c r="F6" i="77"/>
  <c r="M24" i="15"/>
  <c r="F7" i="77"/>
  <c r="M8" i="67"/>
  <c r="M9" i="15"/>
  <c r="F37" i="77"/>
  <c r="F13" i="77"/>
  <c r="F8" i="88"/>
  <c r="M9" i="78"/>
  <c r="F16" i="67"/>
  <c r="F13" i="78"/>
  <c r="J15" i="67"/>
  <c r="F9" i="77"/>
  <c r="L48" i="77"/>
  <c r="F26" i="67"/>
  <c r="M6" i="67"/>
  <c r="M17" i="88"/>
  <c r="F38" i="15"/>
  <c r="F43" i="67"/>
  <c r="F38" i="88"/>
  <c r="F37" i="88"/>
  <c r="L47" i="77"/>
  <c r="F36" i="15"/>
  <c r="M24" i="67"/>
  <c r="F38" i="67"/>
  <c r="F43" i="88"/>
  <c r="F13" i="67"/>
  <c r="M17" i="77"/>
  <c r="F8" i="67"/>
  <c r="M23" i="15"/>
  <c r="F7" i="67"/>
  <c r="M26" i="67"/>
  <c r="F16" i="88"/>
  <c r="M22" i="15"/>
  <c r="F16" i="15"/>
  <c r="F8" i="77"/>
  <c r="F36" i="88"/>
  <c r="M6" i="88"/>
  <c r="L47" i="15"/>
  <c r="M29" i="77"/>
  <c r="C76" i="15"/>
  <c r="M22" i="78"/>
  <c r="C76" i="67"/>
  <c r="F43" i="78"/>
  <c r="F42" i="15"/>
  <c r="F9" i="88"/>
  <c r="F13" i="15"/>
  <c r="M23" i="78"/>
  <c r="F43" i="15"/>
  <c r="M29" i="15"/>
  <c r="F40" i="78"/>
  <c r="M9" i="88"/>
  <c r="M22" i="88"/>
  <c r="M29" i="67"/>
  <c r="M28" i="15"/>
  <c r="F9" i="78"/>
  <c r="F6" i="67"/>
  <c r="M22" i="67"/>
  <c r="F9" i="67"/>
  <c r="F6" i="78"/>
  <c r="M26" i="78"/>
  <c r="J15" i="88"/>
  <c r="C76" i="77"/>
  <c r="J15" i="77"/>
  <c r="F40" i="88"/>
  <c r="M29" i="78"/>
  <c r="M29" i="88"/>
  <c r="M8" i="15"/>
  <c r="F13" i="88"/>
  <c r="M28" i="88"/>
  <c r="F6" i="88"/>
  <c r="L48" i="88"/>
  <c r="M28" i="77"/>
  <c r="F43" i="77"/>
  <c r="L48" i="67"/>
  <c r="M23" i="67"/>
  <c r="J15" i="15"/>
  <c r="G1" i="73"/>
  <c r="F31" i="15"/>
  <c r="M24" i="78"/>
  <c r="F37" i="67"/>
  <c r="M8" i="77"/>
  <c r="F36" i="78"/>
  <c r="M22" i="77"/>
  <c r="F16" i="77"/>
  <c r="M6" i="77"/>
  <c r="F59" i="15"/>
  <c r="F36" i="77"/>
  <c r="F38" i="78"/>
  <c r="J7" i="94" l="1"/>
  <c r="W7" i="94" s="1"/>
  <c r="H7" i="87"/>
  <c r="U7" i="87" s="1"/>
  <c r="J7" i="92"/>
  <c r="H7" i="86"/>
  <c r="E56" i="40"/>
  <c r="F7" i="94"/>
  <c r="AA7" i="94" s="1"/>
  <c r="R48" i="94" s="1"/>
  <c r="F7" i="87"/>
  <c r="F7" i="92"/>
  <c r="F7" i="86"/>
  <c r="S7" i="86" s="1"/>
  <c r="J7" i="83"/>
  <c r="C19" i="12"/>
  <c r="C48" i="68"/>
  <c r="AA7" i="92"/>
  <c r="R49" i="92" s="1"/>
  <c r="S7" i="92"/>
  <c r="C95" i="90"/>
  <c r="H7" i="94"/>
  <c r="J7" i="87"/>
  <c r="C95" i="89"/>
  <c r="C73" i="89"/>
  <c r="C79" i="89" s="1"/>
  <c r="T12" i="100"/>
  <c r="V12" i="100" s="1"/>
  <c r="C34" i="100"/>
  <c r="T9" i="100"/>
  <c r="V9" i="100" s="1"/>
  <c r="T10" i="100"/>
  <c r="V10" i="100" s="1"/>
  <c r="C37" i="100"/>
  <c r="T11" i="100"/>
  <c r="V11" i="100" s="1"/>
  <c r="T15" i="100"/>
  <c r="V15" i="100" s="1"/>
  <c r="T8" i="100"/>
  <c r="V8" i="100" s="1"/>
  <c r="C36" i="100"/>
  <c r="C39" i="100"/>
  <c r="C38" i="100"/>
  <c r="T16" i="100"/>
  <c r="V16" i="100" s="1"/>
  <c r="T14" i="100"/>
  <c r="V14" i="100" s="1"/>
  <c r="C35" i="100"/>
  <c r="T13" i="100"/>
  <c r="V13" i="100" s="1"/>
  <c r="C33" i="100"/>
  <c r="AC7" i="94"/>
  <c r="V48" i="94" s="1"/>
  <c r="I48" i="94" s="1"/>
  <c r="AB7" i="87"/>
  <c r="T49" i="87" s="1"/>
  <c r="G49" i="87" s="1"/>
  <c r="AB7" i="92"/>
  <c r="T49" i="92" s="1"/>
  <c r="G49" i="92" s="1"/>
  <c r="U7" i="92"/>
  <c r="W7" i="86"/>
  <c r="AC7" i="86"/>
  <c r="V49" i="86" s="1"/>
  <c r="I49" i="86" s="1"/>
  <c r="C19" i="43"/>
  <c r="C73" i="90"/>
  <c r="C79" i="90" s="1"/>
  <c r="S7" i="94"/>
  <c r="AA7" i="87"/>
  <c r="R49" i="87" s="1"/>
  <c r="S7" i="87"/>
  <c r="E62" i="39"/>
  <c r="E57" i="40"/>
  <c r="W7" i="92"/>
  <c r="AC7" i="92"/>
  <c r="V49" i="92" s="1"/>
  <c r="I49" i="92" s="1"/>
  <c r="AB7" i="86"/>
  <c r="T49" i="86" s="1"/>
  <c r="G49" i="86" s="1"/>
  <c r="U7" i="86"/>
  <c r="E60" i="40"/>
  <c r="E65" i="39"/>
  <c r="H62" i="43"/>
  <c r="H61" i="43"/>
  <c r="H60" i="43"/>
  <c r="H59" i="43"/>
  <c r="H67" i="43"/>
  <c r="H66" i="43"/>
  <c r="H65" i="43"/>
  <c r="H64" i="43"/>
  <c r="H63" i="43"/>
  <c r="D5" i="43"/>
  <c r="C10" i="78"/>
  <c r="F71" i="67"/>
  <c r="C27" i="67"/>
  <c r="Q71" i="78"/>
  <c r="F64" i="77"/>
  <c r="F50" i="67"/>
  <c r="M7" i="67"/>
  <c r="J6" i="67" s="1"/>
  <c r="C27" i="78"/>
  <c r="F51" i="77"/>
  <c r="F66" i="67"/>
  <c r="F65" i="78"/>
  <c r="C27" i="77"/>
  <c r="M59" i="67"/>
  <c r="N59" i="67"/>
  <c r="L59" i="67" s="1"/>
  <c r="Q61" i="67" s="1"/>
  <c r="L58" i="67"/>
  <c r="Q73" i="67" s="1"/>
  <c r="F65" i="15"/>
  <c r="Q71" i="67"/>
  <c r="C6" i="78"/>
  <c r="I54" i="77"/>
  <c r="J53" i="77"/>
  <c r="Q52" i="77" s="1"/>
  <c r="J57" i="77"/>
  <c r="J55" i="77" s="1"/>
  <c r="J58" i="77" s="1"/>
  <c r="Q50" i="77" s="1"/>
  <c r="L56" i="77"/>
  <c r="F64" i="15"/>
  <c r="C10" i="77"/>
  <c r="C6" i="77"/>
  <c r="B40" i="1"/>
  <c r="F24" i="88" s="1"/>
  <c r="C24" i="88" s="1"/>
  <c r="F68" i="15"/>
  <c r="F51" i="15"/>
  <c r="F66" i="78"/>
  <c r="F69" i="77"/>
  <c r="F64" i="67"/>
  <c r="C27" i="15"/>
  <c r="L58" i="15"/>
  <c r="Q73" i="15" s="1"/>
  <c r="N59" i="15"/>
  <c r="M59" i="15"/>
  <c r="F71" i="78"/>
  <c r="F65" i="77"/>
  <c r="M7" i="88"/>
  <c r="J6" i="88" s="1"/>
  <c r="F50" i="88"/>
  <c r="F66" i="88"/>
  <c r="F65" i="88"/>
  <c r="F64" i="88"/>
  <c r="N59" i="88"/>
  <c r="L58" i="88"/>
  <c r="L59" i="88"/>
  <c r="M59" i="88"/>
  <c r="C27" i="88"/>
  <c r="I54" i="88"/>
  <c r="J59" i="88"/>
  <c r="L60" i="88"/>
  <c r="J57" i="88"/>
  <c r="J55" i="88" s="1"/>
  <c r="J58" i="88" s="1"/>
  <c r="Q50" i="88" s="1"/>
  <c r="L46" i="88"/>
  <c r="J53" i="88"/>
  <c r="Q52" i="88" s="1"/>
  <c r="J60" i="88"/>
  <c r="Q48" i="88" s="1"/>
  <c r="L57" i="88"/>
  <c r="L56" i="88"/>
  <c r="C10" i="88"/>
  <c r="C6" i="88"/>
  <c r="C10" i="15"/>
  <c r="C6" i="15"/>
  <c r="F65" i="67"/>
  <c r="F51" i="78"/>
  <c r="F64" i="78"/>
  <c r="Q71" i="77"/>
  <c r="C6" i="67"/>
  <c r="C5" i="67" s="1"/>
  <c r="C32" i="67" s="1"/>
  <c r="F68" i="67"/>
  <c r="F68" i="78"/>
  <c r="F68" i="77"/>
  <c r="F70" i="67"/>
  <c r="J57" i="67"/>
  <c r="J55" i="67" s="1"/>
  <c r="J58" i="67" s="1"/>
  <c r="Q50" i="67" s="1"/>
  <c r="L56" i="67"/>
  <c r="I54" i="67"/>
  <c r="N59" i="78"/>
  <c r="M59" i="78"/>
  <c r="L59" i="78" s="1"/>
  <c r="L58" i="78"/>
  <c r="Q73" i="78" s="1"/>
  <c r="Q71" i="15"/>
  <c r="F71" i="15"/>
  <c r="M7" i="78"/>
  <c r="J6" i="78" s="1"/>
  <c r="F50" i="78"/>
  <c r="I54" i="78"/>
  <c r="L56" i="78"/>
  <c r="J53" i="78"/>
  <c r="Q52" i="78" s="1"/>
  <c r="J57" i="78"/>
  <c r="J55" i="78" s="1"/>
  <c r="J58" i="78" s="1"/>
  <c r="Q50" i="78" s="1"/>
  <c r="M7" i="77"/>
  <c r="J10" i="77" s="1"/>
  <c r="F50" i="77"/>
  <c r="F71" i="77"/>
  <c r="L58" i="77"/>
  <c r="Q73" i="77" s="1"/>
  <c r="M59" i="77"/>
  <c r="N59" i="77"/>
  <c r="L59" i="77"/>
  <c r="Q74" i="77" s="1"/>
  <c r="F51" i="67"/>
  <c r="J53" i="15"/>
  <c r="L56" i="15" s="1"/>
  <c r="J57" i="15"/>
  <c r="J55" i="15" s="1"/>
  <c r="J58" i="15" s="1"/>
  <c r="Q50" i="15" s="1"/>
  <c r="I54" i="15"/>
  <c r="F66" i="15"/>
  <c r="F66" i="77"/>
  <c r="M7" i="15"/>
  <c r="F50" i="15"/>
  <c r="F71" i="88"/>
  <c r="F68" i="88"/>
  <c r="F51" i="88"/>
  <c r="Q71" i="88"/>
  <c r="O7" i="1"/>
  <c r="E7" i="70"/>
  <c r="AB32" i="33"/>
  <c r="U32" i="33"/>
  <c r="AA32" i="33"/>
  <c r="S32" i="33"/>
  <c r="K4" i="4"/>
  <c r="B46" i="48" s="1"/>
  <c r="B4" i="72" s="1"/>
  <c r="U7" i="83"/>
  <c r="AB7" i="83"/>
  <c r="T49" i="83" s="1"/>
  <c r="G49" i="83" s="1"/>
  <c r="AA7" i="83"/>
  <c r="R49" i="83" s="1"/>
  <c r="S7" i="83"/>
  <c r="K16" i="1"/>
  <c r="B5" i="62"/>
  <c r="B73" i="72" s="1"/>
  <c r="M22" i="6"/>
  <c r="I22" i="6" s="1"/>
  <c r="S22" i="6" s="1"/>
  <c r="S9" i="1"/>
  <c r="E9" i="70" s="1"/>
  <c r="M20" i="6"/>
  <c r="I20" i="6" s="1"/>
  <c r="M23" i="6"/>
  <c r="I23" i="6" s="1"/>
  <c r="S23" i="6" s="1"/>
  <c r="S10" i="1"/>
  <c r="M21" i="6"/>
  <c r="I21" i="6" s="1"/>
  <c r="S21" i="6" s="1"/>
  <c r="S8" i="1"/>
  <c r="E8" i="70" s="1"/>
  <c r="AQ7" i="1"/>
  <c r="E3" i="6"/>
  <c r="D19" i="11" s="1"/>
  <c r="C19" i="11" s="1"/>
  <c r="C20" i="11"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M27" i="6"/>
  <c r="H10" i="39"/>
  <c r="J10" i="39"/>
  <c r="M16" i="1"/>
  <c r="N16" i="1" s="1"/>
  <c r="F27" i="11"/>
  <c r="F1" i="67"/>
  <c r="Q52" i="67"/>
  <c r="AE9" i="1"/>
  <c r="F28" i="12"/>
  <c r="F59" i="78"/>
  <c r="C14" i="88"/>
  <c r="M17" i="67"/>
  <c r="C17" i="88"/>
  <c r="C17" i="77"/>
  <c r="C17" i="15"/>
  <c r="M17" i="78"/>
  <c r="C17" i="78"/>
  <c r="F31" i="78"/>
  <c r="C16" i="67"/>
  <c r="F31" i="67"/>
  <c r="C16" i="15"/>
  <c r="C16" i="77"/>
  <c r="C16" i="78"/>
  <c r="F59" i="67"/>
  <c r="C16" i="88"/>
  <c r="E6" i="6" l="1"/>
  <c r="AA7" i="86"/>
  <c r="R49" i="86" s="1"/>
  <c r="AC7" i="83"/>
  <c r="V49" i="83" s="1"/>
  <c r="I49" i="83" s="1"/>
  <c r="I53" i="83" s="1"/>
  <c r="J53" i="83" s="1"/>
  <c r="W7" i="83"/>
  <c r="C29" i="12"/>
  <c r="D28" i="12" s="1"/>
  <c r="C49" i="67"/>
  <c r="Q61" i="78"/>
  <c r="Q74" i="78"/>
  <c r="C80" i="90"/>
  <c r="E80" i="90" s="1"/>
  <c r="E81" i="90" s="1"/>
  <c r="C81" i="90"/>
  <c r="I53" i="92"/>
  <c r="J53" i="92" s="1"/>
  <c r="G37" i="100"/>
  <c r="I37" i="100" s="1"/>
  <c r="E37" i="100"/>
  <c r="AC7" i="87"/>
  <c r="V49" i="87" s="1"/>
  <c r="I49" i="87" s="1"/>
  <c r="W7" i="87"/>
  <c r="E49" i="87"/>
  <c r="AB7" i="94"/>
  <c r="T48" i="94" s="1"/>
  <c r="G48" i="94" s="1"/>
  <c r="U7" i="94"/>
  <c r="C81" i="89"/>
  <c r="C80" i="89"/>
  <c r="E80" i="89" s="1"/>
  <c r="E81" i="89" s="1"/>
  <c r="G53" i="92"/>
  <c r="H53" i="92" s="1"/>
  <c r="G54" i="92"/>
  <c r="H54" i="92" s="1"/>
  <c r="I52" i="94"/>
  <c r="J52" i="94" s="1"/>
  <c r="E35" i="100"/>
  <c r="G35" i="100"/>
  <c r="I35" i="100" s="1"/>
  <c r="G39" i="100"/>
  <c r="I39" i="100" s="1"/>
  <c r="E39" i="100"/>
  <c r="C96" i="90"/>
  <c r="E96" i="90" s="1"/>
  <c r="E97" i="90" s="1"/>
  <c r="C97" i="90"/>
  <c r="D58" i="90" s="1"/>
  <c r="D56" i="90" s="1"/>
  <c r="M54" i="90" s="1"/>
  <c r="N57" i="90" s="1"/>
  <c r="R50" i="92"/>
  <c r="E49" i="92"/>
  <c r="I54" i="92" s="1"/>
  <c r="J54" i="92" s="1"/>
  <c r="G54" i="86"/>
  <c r="H54" i="86" s="1"/>
  <c r="G53" i="86"/>
  <c r="H53" i="86" s="1"/>
  <c r="E66" i="39"/>
  <c r="E48" i="94"/>
  <c r="I53" i="86"/>
  <c r="J53" i="86" s="1"/>
  <c r="G54" i="87"/>
  <c r="H54" i="87" s="1"/>
  <c r="G53" i="87"/>
  <c r="H53" i="87" s="1"/>
  <c r="G33" i="100"/>
  <c r="I33" i="100" s="1"/>
  <c r="E33" i="100"/>
  <c r="G38" i="100"/>
  <c r="I38" i="100" s="1"/>
  <c r="E38" i="100"/>
  <c r="G36" i="100"/>
  <c r="I36" i="100" s="1"/>
  <c r="E36" i="100"/>
  <c r="E34" i="100"/>
  <c r="G34" i="100"/>
  <c r="I34" i="100" s="1"/>
  <c r="C97" i="89"/>
  <c r="D58" i="89" s="1"/>
  <c r="D56" i="89" s="1"/>
  <c r="M54" i="89" s="1"/>
  <c r="N57" i="89" s="1"/>
  <c r="C96" i="89"/>
  <c r="E96" i="89" s="1"/>
  <c r="E97" i="89" s="1"/>
  <c r="E49" i="86"/>
  <c r="I54" i="86" s="1"/>
  <c r="J54" i="86" s="1"/>
  <c r="R50" i="86"/>
  <c r="G39" i="43"/>
  <c r="I39" i="43" s="1"/>
  <c r="Q52" i="15"/>
  <c r="Q60" i="67"/>
  <c r="Q60" i="15"/>
  <c r="Q61" i="77"/>
  <c r="Q74" i="67"/>
  <c r="F24" i="67"/>
  <c r="C24" i="67" s="1"/>
  <c r="C5" i="78"/>
  <c r="C32" i="78" s="1"/>
  <c r="F24" i="15"/>
  <c r="C24" i="15" s="1"/>
  <c r="F24" i="78"/>
  <c r="C24" i="78" s="1"/>
  <c r="F25" i="12"/>
  <c r="C26" i="12" s="1"/>
  <c r="D25" i="12" s="1"/>
  <c r="F1" i="77"/>
  <c r="Q60" i="78"/>
  <c r="F22" i="68"/>
  <c r="F22" i="69"/>
  <c r="C26" i="69" s="1"/>
  <c r="D22" i="69" s="1"/>
  <c r="F22" i="11"/>
  <c r="C25" i="11" s="1"/>
  <c r="F24" i="77"/>
  <c r="C24" i="77" s="1"/>
  <c r="Q60" i="77"/>
  <c r="J10" i="88"/>
  <c r="J5" i="88" s="1"/>
  <c r="J26" i="88" s="1"/>
  <c r="C5" i="15"/>
  <c r="C32" i="15" s="1"/>
  <c r="C49" i="88"/>
  <c r="C48" i="88" s="1"/>
  <c r="C60" i="88" s="1"/>
  <c r="F1" i="15"/>
  <c r="J6" i="77"/>
  <c r="J5" i="77" s="1"/>
  <c r="J24" i="77" s="1"/>
  <c r="F1" i="78"/>
  <c r="F1" i="88"/>
  <c r="C5" i="77"/>
  <c r="J10" i="78"/>
  <c r="J5" i="78" s="1"/>
  <c r="C49" i="78"/>
  <c r="C48" i="78" s="1"/>
  <c r="Q74" i="88"/>
  <c r="Q61" i="88"/>
  <c r="C5" i="88"/>
  <c r="Q57" i="88"/>
  <c r="Q66" i="88"/>
  <c r="Q60" i="88"/>
  <c r="Q73" i="88"/>
  <c r="C15" i="88"/>
  <c r="C18" i="88"/>
  <c r="C19" i="88"/>
  <c r="L18" i="9"/>
  <c r="D3" i="37"/>
  <c r="C17" i="4"/>
  <c r="B4" i="52" s="1"/>
  <c r="B43" i="72" s="1"/>
  <c r="L19" i="90"/>
  <c r="L19" i="89"/>
  <c r="M19" i="90"/>
  <c r="C118" i="90" s="1"/>
  <c r="M19" i="89"/>
  <c r="C118" i="89" s="1"/>
  <c r="M18" i="9"/>
  <c r="B118" i="9"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Q61" i="15"/>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P16" i="1"/>
  <c r="F34" i="11"/>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1" i="12"/>
  <c r="F11" i="12"/>
  <c r="D14" i="12"/>
  <c r="C13" i="12"/>
  <c r="C14" i="78"/>
  <c r="C14" i="77"/>
  <c r="F35" i="88"/>
  <c r="M21" i="88"/>
  <c r="R20" i="6" l="1"/>
  <c r="R7" i="1" s="1"/>
  <c r="R49" i="94"/>
  <c r="C49" i="94" s="1"/>
  <c r="D17" i="12"/>
  <c r="C17" i="12" s="1"/>
  <c r="C20" i="12"/>
  <c r="H18" i="12" s="1"/>
  <c r="N58" i="89"/>
  <c r="P57" i="89"/>
  <c r="N59" i="89"/>
  <c r="N58" i="90"/>
  <c r="P57" i="90"/>
  <c r="N59" i="90"/>
  <c r="AA7" i="34"/>
  <c r="R49" i="34" s="1"/>
  <c r="C50" i="86"/>
  <c r="C49" i="86"/>
  <c r="C48" i="94"/>
  <c r="G53" i="94"/>
  <c r="H53" i="94" s="1"/>
  <c r="G52" i="94"/>
  <c r="H52" i="94" s="1"/>
  <c r="I54" i="87"/>
  <c r="J54" i="87" s="1"/>
  <c r="I53" i="87"/>
  <c r="J53" i="87" s="1"/>
  <c r="E54" i="86"/>
  <c r="F54" i="86" s="1"/>
  <c r="E53" i="86"/>
  <c r="F53" i="86" s="1"/>
  <c r="E53" i="94"/>
  <c r="F53" i="94" s="1"/>
  <c r="E52" i="94"/>
  <c r="F52" i="94" s="1"/>
  <c r="E54" i="92"/>
  <c r="F54" i="92" s="1"/>
  <c r="E53" i="92"/>
  <c r="F53" i="92" s="1"/>
  <c r="I53" i="94"/>
  <c r="J53" i="94" s="1"/>
  <c r="E53" i="87"/>
  <c r="F53" i="87" s="1"/>
  <c r="E54" i="87"/>
  <c r="F54" i="87" s="1"/>
  <c r="C50" i="92"/>
  <c r="B2" i="92" s="1"/>
  <c r="B3" i="92" s="1"/>
  <c r="C49" i="92"/>
  <c r="R50" i="87"/>
  <c r="C44" i="11"/>
  <c r="D41" i="11" s="1"/>
  <c r="C66" i="88"/>
  <c r="C44" i="69"/>
  <c r="D41" i="69" s="1"/>
  <c r="C26" i="11"/>
  <c r="D22" i="11" s="1"/>
  <c r="C44" i="68"/>
  <c r="D41" i="68" s="1"/>
  <c r="J24" i="88"/>
  <c r="C38" i="78"/>
  <c r="C38" i="15"/>
  <c r="J18" i="88"/>
  <c r="C23" i="11"/>
  <c r="C24" i="11"/>
  <c r="C26" i="68"/>
  <c r="D22" i="68" s="1"/>
  <c r="J18" i="77"/>
  <c r="C38" i="77"/>
  <c r="C32" i="77"/>
  <c r="J26" i="78"/>
  <c r="J24" i="78"/>
  <c r="J18" i="78"/>
  <c r="C66" i="78"/>
  <c r="C60" i="78"/>
  <c r="C38" i="88"/>
  <c r="C32" i="88"/>
  <c r="C37" i="11"/>
  <c r="C20" i="88"/>
  <c r="C23" i="88" s="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78"/>
  <c r="F35" i="78"/>
  <c r="B2" i="93" l="1"/>
  <c r="B3" i="93" s="1"/>
  <c r="B2" i="86"/>
  <c r="B3" i="86" s="1"/>
  <c r="C50" i="87"/>
  <c r="C49" i="87"/>
  <c r="R24" i="95"/>
  <c r="B3" i="94"/>
  <c r="B2" i="94"/>
  <c r="N60" i="89"/>
  <c r="N61" i="89"/>
  <c r="N60" i="90"/>
  <c r="N61" i="90"/>
  <c r="C18" i="12"/>
  <c r="C22" i="11"/>
  <c r="C31" i="11" s="1"/>
  <c r="R8" i="1"/>
  <c r="C26" i="88"/>
  <c r="C29" i="88" s="1"/>
  <c r="B2" i="83"/>
  <c r="B3" i="83" s="1"/>
  <c r="A3" i="85"/>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67"/>
  <c r="F35" i="67"/>
  <c r="F35" i="77"/>
  <c r="M6" i="15"/>
  <c r="M17" i="15"/>
  <c r="M21" i="15"/>
  <c r="F35" i="15"/>
  <c r="G3" i="43" l="1"/>
  <c r="G3" i="100"/>
  <c r="B3" i="87"/>
  <c r="B2" i="87"/>
  <c r="R25" i="95"/>
  <c r="S25" i="95" s="1"/>
  <c r="S24" i="95"/>
  <c r="R26" i="95"/>
  <c r="S26" i="95" s="1"/>
  <c r="C21" i="12"/>
  <c r="C22" i="12" s="1"/>
  <c r="B3" i="85"/>
  <c r="C3" i="85" s="1"/>
  <c r="D3" i="85" s="1"/>
  <c r="F49" i="15"/>
  <c r="F22" i="43"/>
  <c r="K101" i="43"/>
  <c r="N101" i="43"/>
  <c r="G101" i="43"/>
  <c r="J101" i="43"/>
  <c r="H22" i="43"/>
  <c r="H101" i="43"/>
  <c r="M101" i="43"/>
  <c r="E101"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S3" i="43"/>
  <c r="T3" i="43" s="1"/>
  <c r="V3" i="43" s="1"/>
  <c r="C23" i="77"/>
  <c r="C29" i="77" s="1"/>
  <c r="C57" i="77" s="1"/>
  <c r="C64" i="77" s="1"/>
  <c r="J20" i="77"/>
  <c r="C34" i="77"/>
  <c r="F63" i="77"/>
  <c r="C62" i="77" s="1"/>
  <c r="C57" i="88"/>
  <c r="J19" i="88"/>
  <c r="J17" i="88" s="1"/>
  <c r="C13" i="88"/>
  <c r="C33" i="88"/>
  <c r="C31" i="88" s="1"/>
  <c r="C36" i="88"/>
  <c r="J14" i="88"/>
  <c r="Q49" i="88"/>
  <c r="J6" i="15"/>
  <c r="J10" i="15"/>
  <c r="J59" i="77"/>
  <c r="J60" i="77" s="1"/>
  <c r="Q48" i="77" s="1"/>
  <c r="C23" i="78"/>
  <c r="C29" i="78" s="1"/>
  <c r="J59" i="78" s="1"/>
  <c r="J60" i="78" s="1"/>
  <c r="Q48" i="78" s="1"/>
  <c r="I5" i="6"/>
  <c r="C49" i="21"/>
  <c r="F63" i="67"/>
  <c r="C62" i="67" s="1"/>
  <c r="C34" i="67"/>
  <c r="J20" i="67"/>
  <c r="C24" i="68"/>
  <c r="J20" i="15"/>
  <c r="F63" i="15"/>
  <c r="C62" i="15" s="1"/>
  <c r="C34" i="15"/>
  <c r="R16" i="1"/>
  <c r="C33" i="68"/>
  <c r="I63" i="40"/>
  <c r="H65" i="40"/>
  <c r="C39" i="11"/>
  <c r="C43" i="11" s="1"/>
  <c r="C41" i="11" s="1"/>
  <c r="I70" i="39"/>
  <c r="Q49" i="77" l="1"/>
  <c r="S22" i="95"/>
  <c r="R22" i="95" s="1"/>
  <c r="B21" i="95" s="1"/>
  <c r="A13" i="85" s="1"/>
  <c r="AG11" i="100"/>
  <c r="AG13" i="100" s="1"/>
  <c r="S6" i="100"/>
  <c r="T6" i="100" s="1"/>
  <c r="V6" i="100" s="1"/>
  <c r="AC11" i="100"/>
  <c r="AC13" i="100" s="1"/>
  <c r="S5" i="100"/>
  <c r="T5" i="100" s="1"/>
  <c r="V5" i="100" s="1"/>
  <c r="Y11" i="100"/>
  <c r="Y13" i="100" s="1"/>
  <c r="S3" i="100"/>
  <c r="T3" i="100" s="1"/>
  <c r="V3" i="100" s="1"/>
  <c r="N101" i="100"/>
  <c r="F101" i="100"/>
  <c r="K101" i="100"/>
  <c r="C101" i="100"/>
  <c r="E22" i="100"/>
  <c r="AD11" i="100"/>
  <c r="AD13" i="100" s="1"/>
  <c r="F22" i="100"/>
  <c r="S7" i="100"/>
  <c r="T7" i="100" s="1"/>
  <c r="V7" i="100" s="1"/>
  <c r="AE11" i="100"/>
  <c r="AE13" i="100" s="1"/>
  <c r="AA11" i="100"/>
  <c r="AA13" i="100" s="1"/>
  <c r="L101" i="100"/>
  <c r="D101" i="100"/>
  <c r="I101" i="100"/>
  <c r="C23" i="100"/>
  <c r="C21" i="100" s="1"/>
  <c r="C29" i="100" s="1"/>
  <c r="AJ11" i="100"/>
  <c r="AJ13" i="100" s="1"/>
  <c r="AB11" i="100"/>
  <c r="AB13" i="100" s="1"/>
  <c r="Z7" i="100"/>
  <c r="AI11" i="100"/>
  <c r="AI13" i="100" s="1"/>
  <c r="J101" i="100"/>
  <c r="B113" i="100"/>
  <c r="G101" i="100"/>
  <c r="J22" i="100"/>
  <c r="AH11" i="100"/>
  <c r="AH13" i="100" s="1"/>
  <c r="Z11" i="100"/>
  <c r="Z13" i="100" s="1"/>
  <c r="S2" i="100"/>
  <c r="T2" i="100" s="1"/>
  <c r="V2" i="100" s="1"/>
  <c r="H101" i="100"/>
  <c r="M101" i="100"/>
  <c r="E101" i="100"/>
  <c r="G22" i="100"/>
  <c r="AF11" i="100"/>
  <c r="AF13" i="100" s="1"/>
  <c r="H22" i="100"/>
  <c r="S4" i="100"/>
  <c r="T4" i="100" s="1"/>
  <c r="V4" i="100" s="1"/>
  <c r="C53" i="15"/>
  <c r="C49" i="15"/>
  <c r="D22" i="43"/>
  <c r="B115" i="43"/>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B117" i="43"/>
  <c r="C117" i="43" s="1"/>
  <c r="B116" i="43"/>
  <c r="C116" i="43" s="1"/>
  <c r="I118" i="43"/>
  <c r="J118" i="43" s="1"/>
  <c r="K118" i="43" s="1"/>
  <c r="L118" i="43" s="1"/>
  <c r="M118" i="43" s="1"/>
  <c r="G118" i="43"/>
  <c r="H118" i="43" s="1"/>
  <c r="D115" i="43"/>
  <c r="E115" i="43" s="1"/>
  <c r="F115" i="43" s="1"/>
  <c r="G115" i="43" s="1"/>
  <c r="H115" i="43" s="1"/>
  <c r="I117" i="43"/>
  <c r="J117" i="43" s="1"/>
  <c r="K117" i="43" s="1"/>
  <c r="L117" i="43" s="1"/>
  <c r="M117" i="43" s="1"/>
  <c r="D118" i="43"/>
  <c r="E118" i="43" s="1"/>
  <c r="F118" i="43" s="1"/>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6" i="43"/>
  <c r="C103" i="43"/>
  <c r="C109" i="43"/>
  <c r="C107" i="43"/>
  <c r="C102" i="43"/>
  <c r="S2" i="43" s="1"/>
  <c r="T2" i="43" s="1"/>
  <c r="V2" i="43" s="1"/>
  <c r="C6" i="68" s="1"/>
  <c r="C105" i="43"/>
  <c r="F104" i="43"/>
  <c r="F102" i="43"/>
  <c r="F103" i="43"/>
  <c r="F109" i="43"/>
  <c r="F106" i="43"/>
  <c r="F105" i="43"/>
  <c r="F107" i="43"/>
  <c r="E102" i="43"/>
  <c r="E106" i="43"/>
  <c r="E103" i="43"/>
  <c r="E104" i="43"/>
  <c r="E107" i="43"/>
  <c r="E105" i="43"/>
  <c r="E109" i="43"/>
  <c r="H102" i="43"/>
  <c r="H103" i="43"/>
  <c r="H104" i="43"/>
  <c r="H109" i="43"/>
  <c r="H107" i="43"/>
  <c r="H106" i="43"/>
  <c r="H105" i="43"/>
  <c r="J104" i="43"/>
  <c r="J105" i="43"/>
  <c r="J106" i="43"/>
  <c r="J107" i="43"/>
  <c r="J102" i="43"/>
  <c r="J109" i="43"/>
  <c r="J103" i="43"/>
  <c r="N102" i="43"/>
  <c r="N107" i="43"/>
  <c r="N105" i="43"/>
  <c r="N104" i="43"/>
  <c r="N106" i="43"/>
  <c r="N109" i="43"/>
  <c r="N103" i="43"/>
  <c r="C61" i="77"/>
  <c r="C33" i="77"/>
  <c r="C31" i="77" s="1"/>
  <c r="J14" i="77"/>
  <c r="J22" i="77" s="1"/>
  <c r="C13" i="77"/>
  <c r="C75" i="77" s="1"/>
  <c r="J19" i="77"/>
  <c r="J17" i="77" s="1"/>
  <c r="C36" i="77"/>
  <c r="J13" i="88"/>
  <c r="J23" i="88" s="1"/>
  <c r="J22" i="88"/>
  <c r="C75" i="88"/>
  <c r="C37" i="88"/>
  <c r="C30" i="88" s="1"/>
  <c r="C39" i="88" s="1"/>
  <c r="Q70" i="88"/>
  <c r="C56" i="88"/>
  <c r="C65" i="88" s="1"/>
  <c r="C64" i="88"/>
  <c r="C61" i="88"/>
  <c r="C59" i="88" s="1"/>
  <c r="J5" i="15"/>
  <c r="C36" i="78"/>
  <c r="J14" i="78"/>
  <c r="Q49" i="78"/>
  <c r="C57" i="78"/>
  <c r="J19" i="78"/>
  <c r="J17" i="78" s="1"/>
  <c r="C13" i="78"/>
  <c r="C33" i="78"/>
  <c r="C31" i="78" s="1"/>
  <c r="C39" i="68"/>
  <c r="C43" i="68" s="1"/>
  <c r="C42" i="68"/>
  <c r="J63" i="40"/>
  <c r="I65" i="40"/>
  <c r="C46" i="11"/>
  <c r="C45" i="11" s="1"/>
  <c r="C49" i="11" s="1"/>
  <c r="C51" i="11" s="1"/>
  <c r="C52" i="11" s="1"/>
  <c r="B2" i="11" s="1"/>
  <c r="B3" i="11" s="1"/>
  <c r="J70" i="39"/>
  <c r="L51" i="88"/>
  <c r="E106" i="100" l="1"/>
  <c r="E102" i="100"/>
  <c r="E105" i="100"/>
  <c r="E109" i="100"/>
  <c r="E104" i="100"/>
  <c r="E107" i="100"/>
  <c r="E103" i="100"/>
  <c r="I117" i="100"/>
  <c r="J117" i="100" s="1"/>
  <c r="K117" i="100" s="1"/>
  <c r="L117" i="100" s="1"/>
  <c r="M117" i="100" s="1"/>
  <c r="B118" i="100"/>
  <c r="C118" i="100" s="1"/>
  <c r="B116" i="100"/>
  <c r="C116" i="100" s="1"/>
  <c r="I116" i="100"/>
  <c r="J116" i="100" s="1"/>
  <c r="K116" i="100" s="1"/>
  <c r="L116" i="100" s="1"/>
  <c r="M116" i="100" s="1"/>
  <c r="D117" i="100"/>
  <c r="E117" i="100" s="1"/>
  <c r="F117" i="100" s="1"/>
  <c r="G117" i="100" s="1"/>
  <c r="H117" i="100" s="1"/>
  <c r="D115" i="100"/>
  <c r="E115" i="100" s="1"/>
  <c r="F115" i="100" s="1"/>
  <c r="G115" i="100" s="1"/>
  <c r="H115" i="100" s="1"/>
  <c r="I118" i="100"/>
  <c r="J118" i="100" s="1"/>
  <c r="K118" i="100" s="1"/>
  <c r="L118" i="100" s="1"/>
  <c r="M118" i="100" s="1"/>
  <c r="I115" i="100"/>
  <c r="J115" i="100" s="1"/>
  <c r="K115" i="100" s="1"/>
  <c r="L115" i="100" s="1"/>
  <c r="M115" i="100" s="1"/>
  <c r="B117" i="100"/>
  <c r="C117" i="100" s="1"/>
  <c r="B115" i="100"/>
  <c r="G118" i="100"/>
  <c r="H118" i="100" s="1"/>
  <c r="D118" i="100"/>
  <c r="E118" i="100" s="1"/>
  <c r="F118" i="100" s="1"/>
  <c r="D116" i="100"/>
  <c r="E116" i="100" s="1"/>
  <c r="F116" i="100" s="1"/>
  <c r="G116" i="100" s="1"/>
  <c r="H116" i="100" s="1"/>
  <c r="D109" i="100"/>
  <c r="D104" i="100"/>
  <c r="D107" i="100"/>
  <c r="D103" i="100"/>
  <c r="D106" i="100"/>
  <c r="D102" i="100"/>
  <c r="D105" i="100"/>
  <c r="C109" i="100"/>
  <c r="C107" i="100"/>
  <c r="C103" i="100"/>
  <c r="C106" i="100"/>
  <c r="C102" i="100"/>
  <c r="C105" i="100"/>
  <c r="C104" i="100"/>
  <c r="K107" i="100"/>
  <c r="K103" i="100"/>
  <c r="K106" i="100"/>
  <c r="K102" i="100"/>
  <c r="K109" i="100"/>
  <c r="K105" i="100"/>
  <c r="K104" i="100"/>
  <c r="M109" i="100"/>
  <c r="M106" i="100"/>
  <c r="M102" i="100"/>
  <c r="M105" i="100"/>
  <c r="M104" i="100"/>
  <c r="M107" i="100"/>
  <c r="M103" i="100"/>
  <c r="H109" i="100"/>
  <c r="H106" i="100"/>
  <c r="H102" i="100"/>
  <c r="H105" i="100"/>
  <c r="H104" i="100"/>
  <c r="H107" i="100"/>
  <c r="H103" i="100"/>
  <c r="C30" i="100"/>
  <c r="E30" i="100" s="1"/>
  <c r="C27" i="100" s="1"/>
  <c r="E29" i="100"/>
  <c r="C26" i="100" s="1"/>
  <c r="B2" i="100" s="1"/>
  <c r="B3" i="100" s="1"/>
  <c r="F106" i="100"/>
  <c r="F102" i="100"/>
  <c r="F105" i="100"/>
  <c r="F104" i="100"/>
  <c r="F109" i="100"/>
  <c r="F107" i="100"/>
  <c r="F103" i="100"/>
  <c r="B13" i="85"/>
  <c r="C13" i="85" s="1"/>
  <c r="D13" i="85" s="1"/>
  <c r="E13" i="85" s="1"/>
  <c r="F13" i="85" s="1"/>
  <c r="F49" i="77"/>
  <c r="J104" i="100"/>
  <c r="J107" i="100"/>
  <c r="J103" i="100"/>
  <c r="J109" i="100"/>
  <c r="J106" i="100"/>
  <c r="J102" i="100"/>
  <c r="J105" i="100"/>
  <c r="L104" i="100"/>
  <c r="L107" i="100"/>
  <c r="L103" i="100"/>
  <c r="L106" i="100"/>
  <c r="L102" i="100"/>
  <c r="L109" i="100"/>
  <c r="L105" i="100"/>
  <c r="G105" i="100"/>
  <c r="G104" i="100"/>
  <c r="G107" i="100"/>
  <c r="G103" i="100"/>
  <c r="G109" i="100"/>
  <c r="G106" i="100"/>
  <c r="G102" i="100"/>
  <c r="I104" i="100"/>
  <c r="I109" i="100"/>
  <c r="I107" i="100"/>
  <c r="I103" i="100"/>
  <c r="I106" i="100"/>
  <c r="I102" i="100"/>
  <c r="I105" i="100"/>
  <c r="D22" i="100"/>
  <c r="N106" i="100"/>
  <c r="N102" i="100"/>
  <c r="N109" i="100"/>
  <c r="N105" i="100"/>
  <c r="N104" i="100"/>
  <c r="N107" i="100"/>
  <c r="N103" i="100"/>
  <c r="E29" i="43"/>
  <c r="C30" i="43"/>
  <c r="E30" i="43" s="1"/>
  <c r="C27" i="43" s="1"/>
  <c r="C115" i="43"/>
  <c r="D113" i="43"/>
  <c r="J22" i="43" s="1"/>
  <c r="Q70" i="77"/>
  <c r="C37" i="77"/>
  <c r="C30" i="77" s="1"/>
  <c r="C39" i="77" s="1"/>
  <c r="Q69" i="77" s="1"/>
  <c r="C56" i="77"/>
  <c r="C65" i="77" s="1"/>
  <c r="J13" i="77"/>
  <c r="J23" i="77" s="1"/>
  <c r="J16" i="77" s="1"/>
  <c r="J25" i="77" s="1"/>
  <c r="C58" i="88"/>
  <c r="C67" i="88" s="1"/>
  <c r="J16" i="88"/>
  <c r="J25" i="88" s="1"/>
  <c r="Q67" i="88"/>
  <c r="Q69" i="88"/>
  <c r="Q68" i="88" s="1"/>
  <c r="C80" i="88"/>
  <c r="C79" i="88" s="1"/>
  <c r="J18" i="15"/>
  <c r="J24" i="15"/>
  <c r="L57" i="77"/>
  <c r="L60" i="77" s="1"/>
  <c r="Q57" i="77" s="1"/>
  <c r="C75" i="78"/>
  <c r="C37" i="78"/>
  <c r="C30" i="78" s="1"/>
  <c r="C39" i="78" s="1"/>
  <c r="Q70" i="78"/>
  <c r="C56" i="78"/>
  <c r="C65" i="78" s="1"/>
  <c r="C64" i="78"/>
  <c r="C61" i="78"/>
  <c r="C59" i="78" s="1"/>
  <c r="J13" i="78"/>
  <c r="J23" i="78" s="1"/>
  <c r="J22" i="78"/>
  <c r="C41" i="68"/>
  <c r="C46" i="68"/>
  <c r="C45" i="68" s="1"/>
  <c r="K63" i="40"/>
  <c r="J65" i="40"/>
  <c r="K70" i="39"/>
  <c r="C56" i="11"/>
  <c r="C57" i="11" s="1"/>
  <c r="E6" i="76"/>
  <c r="L51" i="78"/>
  <c r="C49" i="77" l="1"/>
  <c r="C53" i="77"/>
  <c r="C115" i="100"/>
  <c r="D113" i="100" s="1"/>
  <c r="C26" i="43"/>
  <c r="B2" i="43" s="1"/>
  <c r="E2" i="76"/>
  <c r="Q68" i="77"/>
  <c r="C40" i="77"/>
  <c r="C43" i="77" s="1"/>
  <c r="C80" i="77"/>
  <c r="C79" i="77" s="1"/>
  <c r="L46" i="77"/>
  <c r="Q66" i="77"/>
  <c r="C80" i="78"/>
  <c r="C79" i="78" s="1"/>
  <c r="L57" i="78"/>
  <c r="L60" i="78" s="1"/>
  <c r="L46" i="78" s="1"/>
  <c r="Q67" i="78"/>
  <c r="J16" i="78"/>
  <c r="J25" i="78" s="1"/>
  <c r="C58" i="78"/>
  <c r="C67" i="78" s="1"/>
  <c r="Q69" i="78"/>
  <c r="Q68" i="78" s="1"/>
  <c r="C49" i="68"/>
  <c r="C51" i="68" s="1"/>
  <c r="L63" i="40"/>
  <c r="K65" i="40"/>
  <c r="L70" i="39"/>
  <c r="E2" i="70"/>
  <c r="C34" i="69"/>
  <c r="C17" i="67"/>
  <c r="L51" i="77"/>
  <c r="B6" i="76"/>
  <c r="C48" i="77" l="1"/>
  <c r="C7" i="68"/>
  <c r="C5" i="68" s="1"/>
  <c r="B2" i="76"/>
  <c r="B3" i="76" s="1"/>
  <c r="B3" i="43"/>
  <c r="C83" i="77"/>
  <c r="C82" i="77" s="1"/>
  <c r="Q67" i="77"/>
  <c r="Q57" i="78"/>
  <c r="Q66" i="78"/>
  <c r="M63" i="40"/>
  <c r="L65" i="40"/>
  <c r="M70" i="39"/>
  <c r="C35" i="69"/>
  <c r="C38" i="69"/>
  <c r="D10" i="69"/>
  <c r="C60" i="77" l="1"/>
  <c r="C59" i="77" s="1"/>
  <c r="C66" i="77"/>
  <c r="C23" i="68"/>
  <c r="C20" i="68"/>
  <c r="N63" i="40"/>
  <c r="M65" i="40"/>
  <c r="O70" i="39"/>
  <c r="N70" i="39"/>
  <c r="D19" i="69"/>
  <c r="C10" i="69"/>
  <c r="C8" i="69" s="1"/>
  <c r="C5" i="69" s="1"/>
  <c r="C58" i="77" l="1"/>
  <c r="C67" i="77" s="1"/>
  <c r="C68" i="77" s="1"/>
  <c r="C46" i="77" s="1"/>
  <c r="C28" i="68"/>
  <c r="C27" i="68" s="1"/>
  <c r="C25" i="68"/>
  <c r="C22" i="68" s="1"/>
  <c r="O63" i="40"/>
  <c r="O65" i="40" s="1"/>
  <c r="N65" i="40"/>
  <c r="C23" i="69"/>
  <c r="C19" i="69"/>
  <c r="C24" i="69" s="1"/>
  <c r="D37" i="69"/>
  <c r="C37" i="69" s="1"/>
  <c r="C33" i="69" s="1"/>
  <c r="C14" i="67"/>
  <c r="F20" i="95"/>
  <c r="F20" i="91"/>
  <c r="C71" i="77" l="1"/>
  <c r="B20" i="95"/>
  <c r="C31" i="68"/>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F41" i="88"/>
  <c r="C14" i="15"/>
  <c r="F69" i="88" l="1"/>
  <c r="C68" i="88" s="1"/>
  <c r="J29" i="88"/>
  <c r="C40" i="88"/>
  <c r="AG7" i="1"/>
  <c r="L57" i="67"/>
  <c r="L60" i="67" s="1"/>
  <c r="L46" i="67" s="1"/>
  <c r="C80" i="67"/>
  <c r="C79" i="67" s="1"/>
  <c r="Q69" i="67"/>
  <c r="Q68" i="67" s="1"/>
  <c r="Q67" i="67"/>
  <c r="C59" i="67"/>
  <c r="C66" i="67"/>
  <c r="T16" i="1"/>
  <c r="C18" i="15"/>
  <c r="C15" i="15"/>
  <c r="M27" i="78"/>
  <c r="F41" i="78"/>
  <c r="J29" i="78" l="1"/>
  <c r="F69" i="78"/>
  <c r="C68" i="78" s="1"/>
  <c r="C71" i="78" s="1"/>
  <c r="C40" i="78"/>
  <c r="Q47" i="88"/>
  <c r="Q53" i="88" s="1"/>
  <c r="Q65" i="88"/>
  <c r="Q75" i="88" s="1"/>
  <c r="B2" i="88"/>
  <c r="B3" i="88" s="1"/>
  <c r="Q56" i="88"/>
  <c r="Q62" i="88" s="1"/>
  <c r="C83" i="88"/>
  <c r="C82" i="88" s="1"/>
  <c r="C43" i="88"/>
  <c r="C71" i="88"/>
  <c r="C46" i="88"/>
  <c r="Q66" i="67"/>
  <c r="Q57" i="67"/>
  <c r="C58" i="67"/>
  <c r="C67" i="67" s="1"/>
  <c r="C19" i="15"/>
  <c r="AO9" i="1"/>
  <c r="Q56" i="78" l="1"/>
  <c r="Q62" i="78" s="1"/>
  <c r="C46" i="78"/>
  <c r="Q65" i="78"/>
  <c r="Q75" i="78" s="1"/>
  <c r="C83" i="78"/>
  <c r="C82" i="78" s="1"/>
  <c r="B2" i="78"/>
  <c r="D8" i="12" s="1"/>
  <c r="Q47" i="78"/>
  <c r="Q53" i="78" s="1"/>
  <c r="C43" i="78"/>
  <c r="B9" i="70"/>
  <c r="C20" i="15"/>
  <c r="C26" i="15" s="1"/>
  <c r="B3" i="78"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F41" i="67"/>
  <c r="F41" i="15"/>
  <c r="M27" i="77"/>
  <c r="M27" i="67"/>
  <c r="M27" i="15"/>
  <c r="J26" i="77" l="1"/>
  <c r="J29" i="77" s="1"/>
  <c r="J26" i="15"/>
  <c r="J29" i="15" s="1"/>
  <c r="J26" i="67"/>
  <c r="J29" i="67" s="1"/>
  <c r="C58" i="15"/>
  <c r="C67" i="15" s="1"/>
  <c r="F69" i="15"/>
  <c r="C40" i="15"/>
  <c r="C43" i="15" s="1"/>
  <c r="L46" i="15"/>
  <c r="Q57" i="15"/>
  <c r="Q66" i="15"/>
  <c r="F69" i="67"/>
  <c r="C68" i="67" s="1"/>
  <c r="C71" i="67" s="1"/>
  <c r="C40" i="67"/>
  <c r="C83" i="67" s="1"/>
  <c r="C82" i="67" s="1"/>
  <c r="Q47" i="77" l="1"/>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77" l="1"/>
  <c r="C2" i="96"/>
  <c r="B3" i="15"/>
  <c r="C3" i="93"/>
  <c r="B8" i="70"/>
  <c r="B7" i="70"/>
  <c r="B6" i="70"/>
  <c r="C46" i="15"/>
  <c r="B2" i="69"/>
  <c r="B3" i="69" s="1"/>
  <c r="B2" i="68"/>
  <c r="B3" i="67"/>
  <c r="E2" i="68"/>
  <c r="D2" i="36"/>
  <c r="D2" i="33"/>
  <c r="C19" i="9"/>
  <c r="D2" i="21"/>
  <c r="D2" i="35"/>
  <c r="D2" i="37"/>
  <c r="D2" i="34"/>
  <c r="F20" i="31"/>
  <c r="B4" i="93" l="1"/>
  <c r="B6" i="93"/>
  <c r="C2" i="93"/>
  <c r="B20" i="31"/>
  <c r="B2" i="36"/>
  <c r="B3" i="36" s="1"/>
  <c r="B2" i="35"/>
  <c r="B3" i="35" s="1"/>
  <c r="B2" i="37"/>
  <c r="B3" i="37" s="1"/>
  <c r="B2" i="34"/>
  <c r="B3" i="34" s="1"/>
  <c r="B2" i="21"/>
  <c r="B3" i="21" s="1"/>
  <c r="B2" i="70"/>
  <c r="B3" i="70" s="1"/>
  <c r="C102" i="9"/>
  <c r="C21" i="9"/>
  <c r="B3" i="68"/>
  <c r="C20" i="9"/>
  <c r="B7" i="93" l="1"/>
  <c r="B13" i="96" s="1"/>
  <c r="C13" i="96"/>
  <c r="C15" i="96" s="1"/>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B3" i="96" s="1"/>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C14" i="96"/>
  <c r="C23" i="12"/>
  <c r="C31" i="12"/>
  <c r="F66" i="39"/>
  <c r="B2" i="39" s="1"/>
  <c r="B3" i="39" s="1"/>
  <c r="D35" i="9"/>
  <c r="C30" i="12" l="1"/>
  <c r="C28" i="12" s="1"/>
  <c r="C27" i="12"/>
  <c r="C25" i="12" s="1"/>
  <c r="C32" i="12" l="1"/>
  <c r="B2" i="12" s="1"/>
  <c r="D19" i="9"/>
  <c r="G19" i="9" l="1"/>
  <c r="D22" i="9"/>
  <c r="D102" i="9"/>
  <c r="D21" i="9"/>
  <c r="H112" i="9"/>
  <c r="D21" i="53" s="1"/>
  <c r="B39" i="72" s="1"/>
  <c r="H111" i="9"/>
  <c r="D126" i="9" s="1"/>
  <c r="D59" i="9"/>
  <c r="M55" i="9" s="1"/>
  <c r="B3" i="12"/>
  <c r="D20" i="9"/>
  <c r="G20" i="9" l="1"/>
  <c r="D103" i="9"/>
  <c r="C32" i="9"/>
  <c r="H118" i="9" s="1"/>
  <c r="C104" i="9" s="1"/>
  <c r="G21" i="9"/>
  <c r="D19" i="53"/>
  <c r="B38" i="72" s="1"/>
  <c r="D20" i="53"/>
  <c r="B40" i="72" s="1"/>
  <c r="I14" i="74"/>
  <c r="B8" i="74" s="1"/>
  <c r="D127" i="9"/>
  <c r="D13" i="52" s="1"/>
  <c r="D12" i="52"/>
  <c r="C35" i="9" l="1"/>
  <c r="F118" i="9" s="1"/>
  <c r="D8" i="74"/>
  <c r="C8" i="74"/>
  <c r="H101" i="9"/>
  <c r="M48" i="9" s="1"/>
  <c r="I118" i="9"/>
  <c r="H119" i="9"/>
  <c r="H5" i="52" s="1"/>
  <c r="D14" i="74"/>
  <c r="H4" i="52"/>
  <c r="G118" i="9" l="1"/>
  <c r="G4" i="52" s="1"/>
  <c r="B52" i="72" s="1"/>
  <c r="C105" i="9"/>
  <c r="H107" i="9"/>
  <c r="M49" i="9" s="1"/>
  <c r="L63" i="9" s="1"/>
  <c r="M63" i="9" s="1"/>
  <c r="F119" i="9"/>
  <c r="F5" i="52" s="1"/>
  <c r="B53" i="72" s="1"/>
  <c r="F4" i="52"/>
  <c r="B51" i="72" s="1"/>
  <c r="C34" i="9"/>
  <c r="D118" i="9" s="1"/>
  <c r="D45" i="9"/>
  <c r="D53" i="9" s="1"/>
  <c r="I4" i="52"/>
  <c r="D5" i="53"/>
  <c r="B20" i="72" s="1"/>
  <c r="H102" i="9"/>
  <c r="D7" i="53" s="1"/>
  <c r="B21" i="72" s="1"/>
  <c r="E14" i="74"/>
  <c r="B5" i="74"/>
  <c r="F14" i="74"/>
  <c r="E118" i="9" l="1"/>
  <c r="E4" i="52" s="1"/>
  <c r="B48" i="72" s="1"/>
  <c r="D13" i="53"/>
  <c r="L66" i="9"/>
  <c r="M66" i="9" s="1"/>
  <c r="H108" i="9"/>
  <c r="D15" i="53" s="1"/>
  <c r="B31" i="72" s="1"/>
  <c r="L64" i="9"/>
  <c r="M64" i="9" s="1"/>
  <c r="D122" i="9"/>
  <c r="G14" i="74" s="1"/>
  <c r="B6" i="74" s="1"/>
  <c r="L65" i="9"/>
  <c r="M65" i="9" s="1"/>
  <c r="L67" i="9"/>
  <c r="M67" i="9" s="1"/>
  <c r="L68" i="9"/>
  <c r="M68" i="9" s="1"/>
  <c r="D119" i="9"/>
  <c r="D5" i="52" s="1"/>
  <c r="B49" i="72" s="1"/>
  <c r="D4" i="52"/>
  <c r="B47" i="72" s="1"/>
  <c r="C93" i="9"/>
  <c r="C86" i="9" s="1"/>
  <c r="D52" i="9"/>
  <c r="C78" i="9"/>
  <c r="C73" i="9" s="1"/>
  <c r="C85" i="9"/>
  <c r="C72" i="9"/>
  <c r="D55" i="9"/>
  <c r="M53" i="9" s="1"/>
  <c r="C64" i="9"/>
  <c r="C63" i="9" s="1"/>
  <c r="D6" i="53"/>
  <c r="B22" i="72" s="1"/>
  <c r="D5" i="74"/>
  <c r="C5" i="74"/>
  <c r="D14" i="53"/>
  <c r="B32" i="72" s="1"/>
  <c r="B30" i="72"/>
  <c r="D123" i="9"/>
  <c r="D9" i="52" s="1"/>
  <c r="D8" i="52" l="1"/>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<sst xmlns="http://schemas.openxmlformats.org/spreadsheetml/2006/main" count="12310" uniqueCount="3616">
  <si>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</si>
  <si>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</si>
  <si>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</si>
  <si>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</si>
  <si>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</si>
  <si>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</si>
  <si>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</si>
  <si>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</si>
  <si>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</si>
  <si>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</si>
  <si>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</si>
  <si>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</si>
  <si>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</si>
  <si>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</si>
  <si>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</si>
  <si>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</si>
  <si>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</si>
  <si>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</si>
  <si>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</si>
  <si>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</si>
  <si>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</si>
  <si>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</si>
  <si>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</si>
  <si>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</si>
  <si>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</si>
  <si>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</si>
  <si>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</si>
  <si>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</si>
  <si>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</si>
  <si>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</si>
  <si>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</si>
  <si>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</si>
  <si>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</si>
  <si>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</si>
  <si>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</si>
  <si>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</si>
  <si>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</si>
  <si>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</si>
  <si>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</si>
  <si>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</si>
  <si>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</si>
  <si>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</si>
  <si>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</si>
  <si>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</si>
  <si>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</si>
  <si>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</si>
  <si>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</si>
  <si>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</si>
  <si>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</si>
  <si>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</si>
  <si>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</si>
  <si>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</si>
  <si>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</si>
  <si>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</si>
  <si>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</si>
  <si>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</si>
  <si>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</si>
  <si>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</si>
  <si>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</si>
  <si>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</si>
  <si>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</si>
  <si>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</si>
  <si>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</si>
  <si>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</si>
  <si>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</si>
  <si>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</si>
  <si>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</si>
  <si>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</si>
  <si>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</si>
  <si>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</si>
  <si>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</si>
  <si>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</si>
  <si>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</si>
  <si>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</si>
  <si>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</si>
  <si>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</si>
  <si>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</si>
  <si>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</si>
  <si>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</si>
  <si>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</si>
  <si>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</si>
  <si>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</si>
  <si>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</si>
  <si>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</si>
  <si>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</si>
  <si>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</si>
  <si>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</si>
  <si>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</si>
  <si>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</si>
  <si>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</si>
  <si>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</si>
  <si>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</si>
  <si>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</si>
  <si>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</si>
  <si>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</si>
  <si>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</si>
  <si>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</si>
  <si>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</si>
  <si>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</si>
  <si>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</si>
  <si>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</si>
  <si>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</si>
  <si>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</si>
  <si>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</si>
  <si>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</si>
  <si>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</si>
  <si>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</si>
  <si>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</si>
  <si>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</si>
  <si>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</si>
  <si>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</si>
  <si>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</si>
  <si>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</si>
  <si>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</si>
  <si>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</si>
  <si>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</si>
  <si>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</si>
  <si>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</si>
  <si>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</si>
  <si>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</si>
  <si>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</si>
  <si>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</si>
  <si>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</si>
  <si>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</si>
  <si>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</si>
  <si>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</si>
  <si>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</si>
  <si>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</si>
  <si>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</si>
  <si>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</si>
  <si>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</si>
  <si>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</si>
  <si>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</si>
  <si>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</si>
  <si>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</si>
  <si>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</si>
  <si>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</si>
  <si>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</si>
  <si>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</si>
  <si>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</si>
  <si>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</si>
  <si>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</si>
  <si>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</si>
  <si>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</si>
  <si>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</si>
  <si>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</si>
  <si>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</si>
  <si>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</si>
  <si>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</si>
  <si>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</si>
  <si>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</si>
  <si>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</si>
  <si>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</si>
  <si>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</si>
  <si>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</si>
  <si>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</si>
  <si>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</si>
  <si>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</si>
  <si>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</si>
  <si>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</si>
  <si>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</si>
  <si>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</si>
  <si>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</si>
  <si>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</si>
  <si>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</si>
  <si>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</si>
  <si>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</si>
  <si>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</si>
  <si>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</si>
  <si>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</si>
  <si>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</si>
  <si>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</si>
  <si>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</si>
  <si>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</si>
  <si>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</si>
  <si>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</si>
  <si>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</si>
  <si>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</si>
  <si>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</si>
  <si>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</si>
  <si>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</si>
  <si>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</si>
  <si>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</si>
  <si>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</si>
  <si>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</si>
  <si>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</si>
  <si>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</si>
  <si>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</si>
  <si>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</si>
  <si>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</si>
  <si>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</si>
  <si>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</si>
  <si>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</si>
  <si>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</si>
  <si>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</si>
  <si>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</si>
  <si>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</si>
  <si>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</si>
  <si>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</si>
  <si>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</si>
  <si>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</si>
  <si>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</si>
  <si>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</si>
  <si>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</si>
  <si>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</si>
  <si>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</si>
  <si>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</si>
  <si>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</si>
  <si>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</si>
  <si>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</si>
  <si>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</si>
  <si>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</si>
  <si>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</si>
  <si>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</si>
  <si>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</si>
  <si>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</si>
  <si>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</si>
  <si>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</si>
  <si>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</si>
  <si>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</si>
  <si>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</si>
  <si>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</si>
  <si>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</si>
  <si>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</si>
  <si>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</si>
  <si>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</si>
  <si>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</si>
  <si>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</si>
  <si>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</si>
  <si>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</si>
  <si>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</si>
  <si>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</si>
  <si>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</si>
  <si>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</si>
  <si>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</si>
  <si>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</si>
  <si>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</si>
  <si>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</si>
  <si>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</si>
  <si>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</si>
  <si>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</si>
  <si>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</si>
  <si>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</si>
  <si>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</si>
  <si>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</si>
  <si>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</si>
  <si>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</si>
  <si>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</si>
  <si>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</si>
  <si>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</si>
  <si>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</si>
  <si>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</si>
  <si>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</si>
  <si>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</si>
  <si>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</si>
  <si>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</si>
  <si>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</si>
  <si>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</si>
  <si>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</si>
  <si>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</si>
  <si>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</si>
  <si>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</si>
  <si>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</si>
  <si>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</si>
  <si>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</si>
  <si>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</si>
  <si>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</si>
  <si>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</si>
  <si>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</si>
  <si>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</si>
  <si>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</si>
  <si>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</si>
  <si>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</si>
  <si>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</si>
  <si>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</si>
  <si>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</si>
  <si>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</si>
  <si>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</si>
  <si>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</si>
  <si>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</si>
  <si>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</si>
  <si>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</si>
  <si>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</si>
  <si>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</si>
  <si>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</si>
  <si>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</si>
  <si>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</si>
  <si>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</si>
  <si>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</si>
  <si>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</si>
  <si>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</si>
  <si>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</si>
  <si>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</si>
  <si>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</si>
  <si>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</si>
  <si>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</si>
  <si>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</si>
  <si>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</si>
  <si>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</si>
  <si>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</si>
  <si>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</si>
  <si>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</si>
  <si>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</si>
  <si>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</si>
  <si>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</si>
  <si>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</si>
  <si>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</si>
  <si>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</si>
  <si>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</si>
  <si>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</si>
  <si>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</si>
  <si>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</si>
  <si>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</si>
  <si>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</si>
  <si>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</si>
  <si>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</si>
  <si>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</si>
  <si>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</si>
  <si>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</si>
  <si>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</si>
  <si>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</si>
  <si>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</si>
  <si>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</si>
  <si>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</si>
  <si>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</si>
  <si>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</si>
  <si>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</si>
  <si>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</si>
  <si>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</si>
  <si>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</si>
  <si>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</si>
  <si>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</si>
  <si>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</si>
  <si>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</si>
  <si>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</si>
  <si>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</si>
  <si>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</si>
  <si>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</si>
  <si>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</si>
  <si>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</si>
  <si>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</si>
  <si>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</si>
  <si>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</si>
  <si>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</si>
  <si>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</si>
  <si>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</si>
  <si>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</si>
  <si>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</si>
  <si>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</si>
  <si>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</si>
  <si>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</si>
  <si>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</si>
  <si>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</si>
  <si>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</si>
  <si>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</si>
  <si>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</si>
  <si>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</si>
  <si>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</si>
  <si>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</si>
  <si>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</si>
  <si>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</si>
  <si>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</si>
  <si>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</si>
  <si>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</si>
  <si>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</si>
  <si>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</si>
  <si>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</si>
  <si>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</si>
  <si>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</si>
  <si>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</si>
  <si>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</si>
  <si>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</si>
  <si>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</si>
  <si>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</si>
  <si>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</si>
  <si>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</si>
  <si>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</si>
  <si>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</si>
  <si>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</si>
  <si>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</si>
  <si>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</si>
  <si>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</si>
  <si>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</si>
  <si>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</si>
  <si>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</si>
  <si>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</si>
  <si>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</si>
  <si>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</si>
  <si>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</si>
  <si>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</si>
  <si>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</si>
  <si>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</si>
  <si>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</si>
  <si>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</si>
  <si>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</si>
  <si>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</si>
  <si>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</si>
  <si>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</si>
  <si>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</si>
  <si>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</si>
  <si>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</si>
  <si>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</si>
  <si>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</si>
  <si>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</si>
  <si>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</si>
  <si>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</si>
  <si>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</si>
  <si>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</si>
  <si>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</si>
  <si>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</si>
  <si>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</si>
  <si>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</si>
  <si>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</si>
  <si>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</si>
  <si>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</si>
  <si>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</si>
  <si>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</si>
  <si>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</si>
  <si>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</si>
  <si>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</si>
  <si>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</si>
  <si>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</si>
  <si>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</si>
  <si>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</si>
  <si>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</si>
  <si>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</si>
  <si>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</si>
  <si>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</si>
  <si>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</si>
  <si>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</si>
  <si>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</si>
  <si>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</si>
  <si>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</si>
  <si>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</si>
  <si>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</si>
  <si>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</si>
  <si>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</si>
  <si>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</si>
  <si>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</si>
  <si>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</si>
  <si>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</si>
  <si>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</si>
  <si>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</si>
  <si>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</si>
  <si>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</si>
  <si>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</si>
  <si>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</si>
  <si>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</si>
  <si>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</si>
  <si>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</si>
  <si>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</si>
  <si>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</si>
  <si>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</si>
  <si>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</si>
  <si>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</si>
  <si>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</si>
  <si>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</si>
  <si>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</si>
  <si>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</si>
  <si>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</si>
  <si>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</si>
  <si>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</si>
  <si>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</si>
  <si>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</si>
  <si>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</si>
  <si>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</si>
  <si>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</si>
  <si>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</si>
  <si>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</si>
  <si>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</si>
  <si>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</si>
  <si>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</si>
  <si>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</si>
  <si>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</si>
  <si>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</si>
  <si>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</si>
  <si>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</si>
  <si>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</si>
  <si>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</si>
  <si>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</si>
  <si>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</si>
  <si>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</si>
  <si>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</si>
  <si>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</si>
  <si>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</si>
  <si>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</si>
  <si>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</si>
  <si>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</si>
  <si>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</si>
  <si>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</si>
  <si>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</si>
  <si>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</si>
  <si>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</si>
  <si>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</si>
  <si>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</si>
  <si>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</si>
  <si>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</si>
  <si>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</si>
  <si>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</si>
  <si>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</si>
  <si>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</si>
  <si>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</si>
  <si>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</si>
  <si>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</si>
  <si>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</si>
  <si>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</si>
  <si>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</si>
  <si>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</si>
  <si>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</si>
  <si>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</si>
  <si>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</si>
  <si>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</si>
  <si>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</si>
  <si>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</si>
  <si>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</si>
  <si>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</si>
  <si>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</si>
  <si>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</si>
  <si>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</si>
  <si>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</si>
  <si>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</si>
  <si>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</si>
  <si>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</si>
  <si>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</si>
  <si>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</si>
  <si>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</si>
  <si>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</si>
  <si>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</si>
  <si>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</si>
  <si>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</si>
  <si>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</si>
  <si>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</si>
  <si>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</si>
  <si>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</si>
  <si>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</si>
  <si>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</si>
  <si>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</si>
  <si>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</si>
  <si>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</si>
  <si>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</si>
  <si>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</si>
  <si>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</si>
  <si>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</si>
  <si>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</si>
  <si>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</si>
  <si>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</si>
  <si>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</si>
  <si>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</si>
  <si>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</si>
  <si>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</si>
  <si>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</si>
  <si>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</si>
  <si>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</si>
  <si>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</si>
  <si>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</si>
  <si>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</si>
  <si>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</si>
  <si>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</si>
  <si>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</si>
  <si>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</si>
  <si>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</si>
  <si>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</si>
  <si>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</si>
  <si>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</si>
  <si>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</si>
  <si>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</si>
  <si>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</si>
  <si>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</si>
  <si>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</si>
  <si>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</si>
  <si>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</si>
  <si>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</si>
  <si>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</si>
  <si>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</si>
  <si>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</si>
  <si>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</si>
  <si>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</si>
  <si>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</si>
  <si>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</si>
  <si>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</si>
  <si>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</si>
  <si>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</si>
  <si>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</si>
  <si>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</si>
  <si>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</si>
  <si>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</si>
  <si>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</si>
  <si>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</si>
  <si>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</si>
  <si>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</si>
  <si>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</si>
  <si>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</si>
  <si>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</si>
  <si>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</si>
  <si>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</si>
  <si>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</si>
  <si>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</si>
  <si>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</si>
  <si>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</si>
  <si>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</si>
  <si>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</si>
  <si>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</si>
  <si>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</si>
  <si>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</si>
  <si>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</si>
  <si>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</si>
  <si>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</si>
  <si>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</si>
  <si>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</si>
  <si>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</si>
  <si>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</si>
  <si>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</si>
  <si>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</si>
  <si>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</si>
  <si>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</si>
  <si>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</si>
  <si>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</si>
  <si>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</si>
  <si>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</si>
  <si>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</si>
  <si>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</si>
  <si>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</si>
  <si>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</si>
  <si>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</si>
  <si>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</si>
  <si>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</si>
  <si>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</si>
  <si>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</si>
  <si>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</si>
  <si>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</si>
  <si>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</si>
  <si>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</si>
  <si>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</si>
  <si>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</si>
  <si>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</si>
  <si>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</si>
  <si>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</si>
  <si>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</si>
  <si>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</si>
  <si>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</si>
  <si>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</si>
  <si>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</si>
  <si>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</si>
  <si>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</si>
  <si>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</si>
  <si>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</si>
  <si>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</si>
  <si>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</si>
  <si>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</si>
  <si>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</si>
  <si>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</si>
  <si>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</si>
  <si>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</si>
  <si>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</si>
  <si>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</si>
  <si>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</si>
  <si>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</si>
  <si>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</si>
  <si>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</si>
  <si>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</si>
  <si>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</si>
  <si>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</si>
  <si>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</si>
  <si>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</si>
  <si>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</si>
  <si>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</si>
  <si>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</si>
  <si>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</si>
  <si>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</si>
  <si>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</si>
  <si>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</si>
  <si>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</si>
  <si>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</si>
  <si>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</si>
  <si>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</si>
  <si>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</si>
  <si>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</si>
  <si>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</si>
  <si>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</si>
  <si>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</si>
  <si>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</si>
  <si>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</si>
  <si>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</si>
  <si>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</si>
  <si>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</si>
  <si>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</si>
  <si>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</si>
  <si>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</si>
  <si>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</si>
  <si>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</si>
  <si>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</si>
  <si>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</si>
  <si>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</si>
  <si>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</si>
  <si>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</si>
  <si>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</si>
  <si>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</si>
  <si>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</si>
  <si>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</si>
  <si>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</si>
  <si>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</si>
  <si>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</si>
  <si>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</si>
  <si>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</si>
  <si>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</si>
  <si>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</si>
  <si>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</si>
  <si>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</si>
  <si>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</si>
  <si>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</si>
  <si>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</si>
  <si>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</si>
  <si>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</si>
  <si>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</si>
  <si>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</si>
  <si>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</si>
  <si>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</si>
  <si>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</si>
  <si>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</si>
  <si>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</si>
  <si>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</si>
  <si>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</si>
  <si>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</si>
  <si>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</si>
  <si>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</si>
  <si>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</si>
  <si>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</si>
  <si>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</si>
  <si>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</si>
  <si>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</si>
  <si>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</si>
  <si>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</si>
  <si>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</si>
  <si>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</si>
  <si>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</si>
  <si>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</si>
  <si>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</si>
  <si>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</si>
  <si>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</si>
  <si>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</si>
  <si>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</si>
  <si>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</si>
  <si>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</si>
  <si>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</si>
  <si>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</si>
  <si>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</si>
  <si>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</si>
  <si>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</si>
  <si>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</si>
  <si>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</si>
  <si>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</si>
  <si>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</si>
  <si>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</si>
  <si>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</si>
  <si>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</si>
  <si>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</si>
  <si>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</si>
  <si>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</si>
  <si>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</si>
  <si>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</si>
  <si>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</si>
  <si>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</si>
  <si>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</si>
  <si>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</si>
  <si>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</si>
  <si>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</si>
  <si>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</si>
  <si>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</si>
  <si>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</si>
  <si>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</si>
  <si>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</si>
  <si>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</si>
  <si>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</si>
  <si>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</si>
  <si>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</si>
  <si>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</si>
  <si>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</si>
  <si>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</si>
  <si>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</si>
  <si>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</si>
  <si>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</si>
  <si>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</si>
  <si>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</si>
  <si>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</si>
  <si>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</si>
  <si>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</si>
  <si>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</si>
  <si>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</si>
  <si>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</si>
  <si>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</si>
  <si>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</si>
  <si>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</si>
  <si>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</si>
  <si>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</si>
  <si>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</si>
  <si>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</si>
  <si>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</si>
  <si>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</si>
  <si>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</si>
  <si>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</si>
  <si>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</si>
  <si>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</si>
  <si>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</si>
  <si>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</si>
  <si>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</si>
  <si>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</si>
  <si>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</si>
  <si>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</si>
  <si>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</si>
  <si>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</si>
  <si>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</si>
  <si>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</si>
  <si>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</si>
  <si>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</si>
  <si>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</si>
  <si>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</si>
  <si>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</si>
  <si>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</si>
  <si>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</si>
  <si>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</si>
  <si>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</si>
  <si>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</si>
  <si>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</si>
  <si>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</si>
  <si>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</si>
  <si>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</si>
  <si>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</si>
  <si>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</si>
  <si>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</si>
  <si>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</si>
  <si>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</si>
  <si>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</si>
  <si>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</si>
  <si>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</si>
  <si>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</si>
  <si>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</si>
  <si>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</si>
  <si>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</si>
  <si>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</si>
  <si>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</si>
  <si>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</si>
  <si>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</si>
  <si>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</si>
  <si>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</si>
  <si>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</si>
  <si>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</si>
  <si>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</si>
  <si>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</si>
  <si>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</si>
  <si>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</si>
  <si>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</si>
  <si>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</si>
  <si>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</si>
  <si>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</si>
  <si>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</si>
  <si>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</si>
  <si>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</si>
  <si>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</si>
  <si>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</si>
  <si>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</si>
  <si>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</si>
  <si>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</si>
  <si>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</si>
  <si>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</si>
  <si>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</si>
  <si>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</si>
  <si>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</si>
  <si>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</si>
  <si>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</si>
  <si>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</si>
  <si>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</si>
  <si>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</si>
  <si>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</si>
  <si>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</si>
  <si>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</si>
  <si>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</si>
  <si>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</si>
  <si>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</si>
  <si>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</si>
  <si>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</si>
  <si>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</si>
  <si>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</si>
  <si>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</si>
  <si>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</si>
  <si>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</si>
  <si>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</si>
  <si>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</si>
  <si>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</si>
  <si>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</si>
  <si>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</si>
  <si>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</si>
  <si>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</si>
  <si>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</si>
  <si>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</si>
  <si>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</si>
  <si>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</si>
  <si>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</si>
  <si>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</si>
  <si>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</si>
  <si>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</si>
  <si>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</si>
  <si>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</si>
  <si>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</si>
  <si>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</si>
  <si>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</si>
  <si>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</si>
  <si>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</si>
  <si>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</si>
  <si>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</si>
  <si>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</si>
  <si>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</si>
  <si>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</si>
  <si>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</si>
  <si>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</si>
  <si>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</si>
  <si>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</si>
  <si>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</si>
  <si>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</si>
  <si>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</si>
  <si>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</si>
  <si>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</si>
  <si>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</si>
  <si>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</si>
  <si>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</si>
  <si>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</si>
  <si>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</si>
  <si>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</si>
  <si>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</si>
  <si>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</si>
  <si>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</si>
  <si>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</si>
  <si>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</si>
  <si>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</si>
  <si>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</si>
  <si>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</si>
  <si>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</si>
  <si>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</si>
  <si>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</si>
  <si>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</si>
  <si>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</si>
  <si>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</si>
  <si>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</si>
  <si>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</si>
  <si>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</si>
  <si>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</si>
  <si>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</si>
  <si>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</si>
  <si>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</si>
  <si>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</si>
  <si>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</si>
  <si>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</si>
  <si>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</si>
  <si>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</si>
  <si>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</si>
  <si>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</si>
  <si>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</si>
  <si>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</si>
  <si>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</si>
  <si>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</si>
  <si>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</si>
  <si>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</si>
  <si>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</si>
  <si>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</si>
  <si>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</si>
  <si>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</si>
  <si>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</si>
  <si>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</si>
  <si>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</si>
  <si>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</si>
  <si>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</si>
  <si>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</si>
  <si>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</si>
  <si>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</si>
  <si>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</si>
  <si>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</si>
  <si>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</si>
  <si>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</si>
  <si>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</si>
  <si>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</si>
  <si>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</si>
  <si>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</si>
  <si>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</si>
  <si>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</si>
  <si>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</si>
  <si>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</si>
  <si>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</si>
  <si>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</si>
  <si>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</si>
  <si>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</si>
  <si>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</si>
  <si>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</si>
  <si>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</si>
  <si>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</si>
  <si>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</si>
  <si>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</si>
  <si>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</si>
  <si>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</si>
  <si>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</si>
  <si>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</si>
  <si>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</si>
  <si>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</si>
  <si>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</si>
  <si>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</si>
  <si>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</si>
  <si>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</si>
  <si>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</si>
  <si>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</si>
  <si>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</si>
  <si>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</si>
  <si>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</si>
  <si>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</si>
  <si>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</si>
  <si>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</si>
  <si>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</si>
  <si>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</si>
  <si>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</si>
  <si>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</si>
  <si>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</si>
  <si>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</si>
  <si>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</si>
  <si>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</si>
  <si>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</si>
  <si>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</si>
  <si>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</si>
  <si>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</si>
  <si>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</si>
  <si>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</si>
  <si>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</si>
  <si>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</si>
  <si>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</si>
  <si>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</si>
  <si>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</si>
  <si>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</si>
  <si>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</si>
  <si>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</si>
  <si>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</si>
  <si>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</si>
  <si>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</si>
  <si>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</si>
  <si>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</si>
  <si>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</si>
  <si>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</si>
  <si>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</si>
  <si>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</si>
  <si>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</si>
  <si>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</si>
  <si>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</si>
  <si>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</si>
  <si>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</si>
  <si>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</si>
  <si>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</si>
  <si>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</si>
  <si>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</si>
  <si>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</si>
  <si>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</si>
  <si>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</si>
  <si>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</si>
  <si>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</si>
  <si>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</si>
  <si>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</si>
  <si>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</si>
  <si>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</si>
  <si>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</si>
  <si>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</si>
  <si>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</si>
  <si>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</si>
  <si>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</si>
  <si>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</si>
  <si>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</si>
  <si>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</si>
  <si>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</si>
  <si>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</si>
  <si>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</si>
  <si>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</si>
  <si>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</si>
  <si>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</si>
  <si>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</si>
  <si>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</si>
  <si>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</si>
  <si>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</si>
  <si>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</si>
  <si>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</si>
  <si>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</si>
  <si>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</si>
  <si>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</si>
  <si>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</si>
  <si>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</si>
  <si>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</si>
  <si>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</si>
  <si>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</si>
  <si>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</si>
  <si>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</si>
  <si>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</si>
  <si>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</si>
  <si>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</si>
  <si>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</si>
  <si>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</si>
  <si>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</si>
  <si>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</si>
  <si>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</si>
  <si>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</si>
  <si>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</si>
  <si>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</si>
  <si>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</si>
  <si>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</si>
  <si>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</si>
  <si>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</si>
  <si>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</si>
  <si>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</si>
  <si>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</si>
  <si>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</si>
  <si>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</si>
  <si>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</si>
  <si>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</si>
  <si>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</si>
  <si>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</si>
  <si>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</si>
  <si>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</si>
  <si>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</si>
  <si>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</si>
  <si>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</si>
  <si>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</si>
  <si>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</si>
  <si>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</si>
  <si>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</si>
  <si>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</si>
  <si>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</si>
  <si>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</si>
  <si>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</si>
  <si>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</si>
  <si>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</si>
  <si>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</si>
  <si>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</si>
  <si>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</si>
  <si>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</si>
  <si>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</si>
  <si>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</si>
  <si>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</si>
  <si>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</si>
  <si>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</si>
  <si>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</si>
  <si>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</si>
  <si>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</si>
  <si>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</si>
  <si>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</si>
  <si>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</si>
  <si>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</si>
  <si>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</si>
  <si>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</si>
  <si>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</si>
  <si>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</si>
  <si>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</si>
  <si>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</si>
  <si>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</si>
  <si>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</si>
  <si>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</si>
  <si>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</si>
  <si>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</si>
  <si>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</si>
  <si>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</si>
  <si>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</si>
  <si>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</si>
  <si>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</si>
  <si>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</si>
  <si>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</si>
  <si>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</si>
  <si>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</si>
  <si>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</si>
  <si>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</si>
  <si>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</si>
  <si>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</si>
  <si>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</si>
  <si>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</si>
  <si>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</si>
  <si>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</si>
  <si>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</si>
  <si>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</si>
  <si>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</si>
  <si>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</si>
  <si>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</si>
  <si>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</si>
  <si>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</si>
  <si>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</si>
  <si>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</si>
  <si>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</si>
  <si>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</si>
  <si>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</si>
  <si>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</si>
  <si>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</si>
  <si>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</si>
  <si>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</si>
  <si>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</si>
  <si>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</si>
  <si>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</si>
  <si>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</si>
  <si>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</si>
  <si>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</si>
  <si>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</si>
  <si>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</si>
  <si>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</si>
  <si>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</si>
  <si>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</si>
  <si>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</si>
  <si>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</si>
  <si>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</si>
  <si>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</si>
  <si>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</si>
  <si>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</si>
  <si>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</si>
  <si>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</si>
  <si>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</si>
  <si>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</si>
  <si>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</si>
  <si>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</si>
  <si>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</si>
  <si>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</si>
  <si>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</si>
  <si>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</si>
  <si>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</si>
  <si>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</si>
  <si>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</si>
  <si>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</si>
  <si>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</si>
  <si>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</si>
  <si>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</si>
  <si>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</si>
  <si>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</si>
  <si>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</si>
  <si>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</si>
  <si>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</si>
  <si>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</si>
  <si>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</si>
  <si>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</si>
  <si>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</si>
  <si>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</si>
  <si>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</si>
  <si>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</si>
  <si>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</si>
  <si>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</si>
  <si>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</si>
  <si>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</si>
  <si>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</si>
  <si>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</si>
  <si>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</si>
  <si>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</si>
  <si>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</si>
  <si>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</si>
  <si>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</si>
  <si>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</si>
  <si>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</si>
  <si>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</si>
  <si>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</si>
  <si>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</si>
  <si>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</si>
  <si>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</si>
  <si>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</si>
  <si>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</si>
  <si>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</si>
  <si>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</si>
  <si>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</si>
  <si>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</si>
  <si>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</si>
  <si>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</si>
  <si>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</si>
  <si>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</si>
  <si>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</si>
  <si>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</si>
  <si>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</si>
  <si>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</si>
  <si>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</si>
  <si>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</si>
  <si>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</si>
  <si>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</si>
  <si>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</si>
  <si>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</si>
  <si>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</si>
  <si>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</si>
  <si>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</si>
  <si>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</si>
  <si>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</si>
  <si>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</si>
  <si>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</si>
  <si>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</si>
  <si>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</si>
  <si>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</si>
  <si>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</si>
  <si>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</si>
  <si>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</si>
  <si>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</si>
  <si>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</si>
  <si>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</si>
  <si>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</si>
  <si>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</si>
  <si>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</si>
  <si>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</si>
  <si>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</si>
  <si>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</si>
  <si>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</si>
  <si>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</si>
  <si>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</si>
  <si>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</si>
  <si>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</si>
  <si>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</si>
  <si>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</si>
  <si>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</si>
  <si>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</si>
  <si>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</si>
  <si>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</si>
  <si>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</si>
  <si>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</si>
  <si>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</si>
  <si>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</si>
  <si>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</si>
  <si>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</si>
  <si>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</si>
  <si>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</si>
  <si>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</si>
  <si>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</si>
  <si>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</si>
  <si>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</si>
  <si>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</si>
  <si>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</si>
  <si>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</si>
  <si>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</si>
  <si>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</si>
  <si>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</si>
  <si>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</si>
  <si>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</si>
  <si>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</si>
  <si>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</si>
  <si>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</si>
  <si>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</si>
  <si>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</si>
  <si>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</si>
  <si>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</si>
  <si>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</si>
  <si>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</si>
  <si>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</si>
  <si>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</si>
  <si>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</si>
  <si>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</si>
  <si>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</si>
  <si>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</si>
  <si>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</si>
  <si>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</si>
  <si>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</si>
  <si>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</si>
  <si>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</si>
  <si>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</si>
  <si>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</si>
  <si>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</si>
  <si>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</si>
  <si>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</si>
  <si>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</si>
  <si>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</si>
  <si>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</si>
  <si>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</si>
  <si>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</si>
  <si>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</si>
  <si>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</si>
  <si>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</si>
  <si>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</si>
  <si>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</si>
  <si>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</si>
  <si>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</si>
  <si>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</si>
  <si>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</si>
  <si>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</si>
  <si>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</si>
  <si>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</si>
  <si>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</si>
  <si>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</si>
  <si>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</si>
  <si>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</si>
  <si>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</si>
  <si>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</si>
  <si>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</si>
  <si>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</si>
  <si>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</si>
  <si>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</si>
  <si>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</si>
  <si>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</si>
  <si>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</si>
  <si>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</si>
  <si>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</si>
  <si>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</si>
  <si>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</si>
  <si>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</si>
  <si>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</si>
  <si>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</si>
  <si>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</si>
  <si>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</si>
  <si>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</si>
  <si>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</si>
  <si>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</si>
  <si>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</si>
  <si>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</si>
  <si>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</si>
  <si>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</si>
  <si>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</si>
  <si>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</si>
  <si>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</si>
  <si>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</si>
  <si>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</si>
  <si>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</si>
  <si>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</si>
  <si>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</si>
  <si>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</si>
  <si>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</si>
  <si>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</si>
  <si>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</si>
  <si>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</si>
  <si>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</si>
  <si>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</si>
  <si>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</si>
  <si>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</si>
  <si>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</si>
  <si>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</si>
  <si>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</si>
  <si>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</si>
  <si>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</si>
  <si>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</si>
  <si>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</si>
  <si>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</si>
  <si>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</si>
  <si>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</si>
  <si>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</si>
  <si>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</si>
  <si>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</si>
  <si>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</si>
  <si>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</si>
  <si>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</si>
  <si>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</si>
  <si>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</si>
  <si>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</si>
  <si>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</si>
  <si>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</si>
  <si>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</si>
  <si>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</si>
  <si>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</si>
  <si>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</si>
  <si>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</si>
  <si>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</si>
  <si>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</si>
  <si>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</si>
  <si>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</si>
  <si>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</si>
  <si>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</si>
  <si>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</si>
  <si>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</si>
  <si>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</si>
  <si>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</si>
  <si>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</si>
  <si>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</si>
  <si>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</si>
  <si>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</si>
  <si>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</si>
  <si>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</si>
  <si>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</si>
  <si>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</si>
  <si>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</si>
  <si>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</si>
  <si>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</si>
  <si>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</si>
  <si>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</si>
  <si>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</si>
  <si>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</si>
  <si>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</si>
  <si>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</si>
  <si>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</si>
  <si>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</si>
  <si>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</si>
  <si>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</si>
  <si>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</si>
  <si>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</si>
  <si>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</si>
  <si>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</si>
  <si>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</si>
  <si>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</si>
  <si>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</si>
  <si>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</si>
  <si>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</si>
  <si>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</si>
  <si>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</si>
  <si>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</si>
  <si>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</si>
  <si>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</si>
  <si>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</si>
  <si>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</si>
  <si>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</si>
  <si>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</si>
  <si>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</si>
  <si>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</si>
  <si>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</si>
  <si>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</si>
  <si>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</si>
  <si>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</si>
  <si>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</si>
  <si>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</si>
  <si>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</si>
  <si>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</si>
  <si>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</si>
  <si>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</si>
  <si>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</si>
  <si>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</si>
  <si>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</si>
  <si>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</si>
  <si>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</si>
  <si>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</si>
  <si>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</si>
  <si>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</si>
  <si>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</si>
  <si>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</si>
  <si>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</si>
  <si>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</si>
  <si>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</si>
  <si>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</si>
  <si>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</si>
  <si>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</si>
  <si>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</si>
  <si>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</si>
  <si>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</si>
  <si>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</si>
  <si>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</si>
  <si>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</si>
  <si>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</si>
  <si>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</si>
  <si>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</si>
  <si>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</si>
  <si>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</si>
  <si>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</si>
  <si>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</si>
  <si>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</si>
  <si>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</si>
  <si>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</si>
  <si>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</si>
  <si>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</si>
  <si>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</si>
  <si>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</si>
  <si>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</si>
  <si>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</si>
  <si>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</si>
  <si>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</si>
  <si>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</si>
  <si>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</si>
  <si>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</si>
  <si>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</si>
  <si>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</si>
  <si>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</si>
  <si>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</si>
  <si>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</si>
  <si>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</si>
  <si>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</si>
  <si>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</si>
  <si>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</si>
  <si>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</si>
  <si>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</si>
  <si>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</si>
  <si>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</si>
  <si>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</si>
  <si>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</si>
  <si>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</si>
  <si>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</si>
  <si>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</si>
  <si>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</si>
  <si>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</si>
  <si>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</si>
  <si>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</si>
  <si>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</si>
  <si>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</si>
  <si>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</si>
  <si>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</si>
  <si>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</si>
  <si>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</si>
  <si>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</si>
  <si>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</si>
  <si>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</si>
  <si>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</si>
  <si>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</si>
  <si>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</si>
  <si>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</si>
  <si>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</si>
  <si>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</si>
  <si>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</si>
  <si>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</si>
  <si>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</si>
  <si>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</si>
  <si>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</si>
  <si>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</si>
  <si>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</si>
  <si>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</si>
  <si>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</si>
  <si>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</si>
  <si>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</si>
  <si>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</si>
  <si>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</si>
  <si>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</si>
  <si>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</si>
  <si>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</si>
  <si>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</si>
  <si>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</si>
  <si>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</si>
  <si>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</si>
  <si>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</si>
  <si>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</si>
  <si>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</si>
  <si>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</si>
  <si>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</si>
  <si>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</si>
  <si>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</si>
  <si>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</si>
  <si>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</si>
  <si>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</si>
  <si>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</si>
  <si>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</si>
  <si>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</si>
  <si>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</si>
  <si>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</si>
  <si>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</si>
  <si>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</si>
  <si>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</si>
  <si>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</si>
  <si>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</si>
  <si>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</si>
  <si>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</si>
  <si>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</si>
  <si>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</si>
  <si>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</si>
  <si>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</si>
  <si>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</si>
  <si>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</si>
  <si>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</si>
  <si>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</si>
  <si>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</si>
  <si>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</si>
  <si>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</si>
  <si>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</si>
  <si>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</si>
  <si>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</si>
  <si>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</si>
  <si>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</si>
  <si>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</si>
  <si>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</si>
  <si>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</si>
  <si>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</si>
  <si>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</si>
  <si>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</si>
  <si>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</si>
  <si>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</si>
  <si>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</si>
  <si>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</si>
  <si>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</si>
  <si>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</si>
  <si>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</si>
  <si>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</si>
  <si>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</si>
  <si>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</si>
  <si>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</si>
  <si>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</si>
  <si>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</si>
  <si>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</si>
  <si>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</si>
  <si>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</si>
  <si>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</si>
  <si>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</si>
  <si>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</si>
  <si>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</si>
  <si>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</si>
  <si>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</si>
  <si>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</si>
  <si>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</si>
  <si>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</si>
  <si>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</si>
  <si>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</si>
  <si>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</si>
  <si>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</si>
  <si>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</si>
  <si>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</si>
  <si>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</si>
  <si>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</si>
  <si>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</si>
  <si>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</si>
  <si>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</si>
  <si>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</si>
  <si>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</si>
  <si>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</si>
  <si>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</si>
  <si>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</si>
  <si>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</si>
  <si>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</si>
  <si>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</si>
  <si>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</si>
  <si>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</si>
  <si>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</si>
  <si>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</si>
  <si>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</si>
  <si>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</si>
  <si>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</si>
  <si>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</si>
  <si>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</si>
  <si>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</si>
  <si>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</si>
  <si>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</si>
  <si>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</si>
  <si>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</si>
  <si>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</si>
  <si>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</si>
  <si>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</si>
  <si>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</si>
  <si>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</si>
  <si>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</si>
  <si>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</si>
  <si>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</si>
  <si>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</si>
  <si>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</si>
  <si>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</si>
  <si>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</si>
  <si>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</si>
  <si>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</si>
  <si>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</si>
  <si>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</si>
  <si>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</si>
  <si>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</si>
  <si>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</si>
  <si>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</si>
  <si>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</si>
  <si>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</si>
  <si>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</si>
  <si>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</si>
  <si>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</si>
  <si>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</si>
  <si>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</si>
  <si>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</si>
  <si>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</si>
  <si>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</si>
  <si>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</si>
  <si>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</si>
  <si>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</si>
  <si>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</si>
  <si>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</si>
  <si>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</si>
  <si>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</si>
  <si>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</si>
  <si>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</si>
  <si>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</si>
  <si>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</si>
  <si>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</si>
  <si>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</si>
  <si>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</si>
  <si>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</si>
  <si>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</si>
  <si>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</si>
  <si>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</si>
  <si>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</si>
  <si>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</si>
  <si>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</si>
  <si>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</si>
  <si>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</si>
  <si>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</si>
  <si>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</si>
  <si>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</si>
  <si>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</si>
  <si>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</si>
  <si>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</si>
  <si>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</si>
  <si>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</si>
  <si>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</si>
  <si>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</si>
  <si>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</si>
  <si>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</si>
  <si>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</si>
  <si>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</si>
  <si>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</si>
  <si>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</si>
  <si>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</si>
  <si>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</si>
  <si>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</si>
  <si>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</si>
  <si>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</si>
  <si>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</si>
  <si>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</si>
  <si>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</si>
  <si>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</si>
  <si>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</si>
  <si>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</si>
  <si>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</si>
  <si>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</si>
  <si>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</si>
  <si>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</si>
  <si>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</si>
  <si>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</si>
  <si>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</si>
  <si>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</si>
  <si>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</si>
  <si>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</si>
  <si>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</si>
  <si>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</si>
  <si>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</si>
  <si>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</si>
  <si>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</si>
  <si>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</si>
  <si>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</si>
  <si>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</si>
  <si>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</si>
  <si>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</si>
  <si>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</si>
  <si>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</si>
  <si>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</si>
  <si>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</si>
  <si>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</si>
  <si>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</si>
  <si>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</si>
  <si>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</si>
  <si>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</si>
  <si>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</si>
  <si>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</si>
  <si>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</si>
  <si>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</si>
  <si>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</si>
  <si>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</si>
  <si>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</si>
  <si>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</si>
  <si>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</si>
  <si>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</si>
  <si>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</si>
  <si>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</si>
  <si>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</si>
  <si>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</si>
  <si>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</si>
  <si>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</si>
  <si>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</si>
  <si>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</si>
  <si>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</si>
  <si>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</si>
  <si>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</si>
  <si>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</si>
  <si>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</si>
  <si>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</si>
  <si>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</si>
  <si>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</si>
  <si>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</si>
  <si>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</si>
  <si>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</si>
  <si>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</si>
  <si>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</si>
  <si>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</si>
  <si>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</si>
  <si>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</si>
  <si>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</si>
  <si>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</si>
  <si>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</si>
  <si>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</si>
  <si>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</si>
  <si>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</si>
  <si>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</si>
  <si>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</si>
  <si>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</si>
  <si>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</si>
  <si>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</si>
  <si>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</si>
  <si>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</si>
  <si>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</si>
  <si>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</si>
  <si>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</si>
  <si>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</si>
  <si>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</si>
  <si>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</si>
  <si>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</si>
  <si>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</si>
  <si>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</si>
  <si>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</si>
  <si>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</si>
  <si>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</si>
  <si>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</si>
  <si>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</si>
  <si>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</si>
  <si>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</si>
  <si>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</si>
  <si>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</si>
  <si>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</si>
  <si>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</si>
  <si>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</si>
  <si>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</si>
  <si>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</si>
  <si>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</si>
  <si>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</si>
  <si>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</si>
  <si>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</si>
  <si>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</si>
  <si>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</si>
  <si>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</si>
  <si>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</si>
  <si>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</si>
  <si>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</si>
  <si>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</si>
  <si>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</si>
  <si>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</si>
  <si>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</si>
  <si>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</si>
  <si>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</si>
  <si>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</si>
  <si>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</si>
  <si>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</si>
  <si>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</si>
  <si>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</si>
  <si>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</si>
  <si>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</si>
  <si>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</si>
  <si>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</si>
  <si>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</si>
  <si>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</si>
  <si>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</si>
  <si>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</si>
  <si>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</si>
  <si>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</si>
  <si>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</si>
  <si>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</si>
  <si>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</si>
  <si>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</si>
  <si>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</si>
  <si>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</si>
  <si>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</si>
  <si>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</si>
  <si>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</si>
  <si>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</si>
  <si>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</si>
  <si>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</si>
  <si>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</si>
  <si>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</si>
  <si>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</si>
  <si>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</si>
  <si>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</si>
  <si>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</si>
  <si>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</si>
  <si>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</si>
  <si>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</si>
  <si>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</si>
  <si>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</si>
  <si>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</si>
  <si>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</si>
  <si>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</si>
  <si>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</si>
  <si>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</si>
  <si>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</si>
  <si>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</si>
  <si>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</si>
  <si>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</si>
  <si>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</si>
  <si>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</si>
  <si>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</si>
  <si>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</si>
  <si>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</si>
  <si>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</si>
  <si>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</si>
  <si>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</si>
  <si>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</si>
  <si>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</si>
  <si>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</si>
  <si>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</si>
  <si>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</si>
  <si>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</si>
  <si>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</si>
  <si>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</si>
  <si>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</si>
  <si>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</si>
  <si>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</si>
  <si>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</si>
  <si>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</si>
  <si>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</si>
  <si>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</si>
  <si>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</si>
  <si>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</si>
  <si>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</si>
  <si>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</si>
  <si>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</si>
  <si>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</si>
  <si>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</si>
  <si>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</si>
  <si>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</si>
  <si>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</si>
  <si>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</si>
  <si>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</si>
  <si>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</si>
  <si>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</si>
  <si>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</si>
  <si>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</si>
  <si>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</si>
  <si>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</si>
  <si>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</si>
  <si>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</si>
  <si>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</si>
  <si>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</si>
  <si>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</si>
  <si>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</si>
  <si>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</si>
  <si>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</si>
  <si>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</si>
  <si>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</si>
  <si>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</si>
  <si>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</si>
  <si>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</si>
  <si>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</si>
  <si>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</si>
  <si>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</si>
  <si>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</si>
  <si>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</si>
  <si>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</si>
  <si>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</si>
  <si>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</si>
  <si>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</si>
  <si>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</si>
  <si>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</si>
  <si>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</si>
  <si>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</si>
  <si>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</si>
  <si>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</si>
  <si>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</si>
  <si>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</si>
  <si>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</si>
  <si>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</si>
  <si>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</si>
  <si>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</si>
  <si>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</si>
  <si>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</si>
  <si>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</si>
  <si>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</si>
  <si>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</si>
  <si>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</si>
  <si>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</si>
  <si>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</si>
  <si>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</si>
  <si>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</si>
  <si>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</si>
  <si>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</si>
  <si>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</si>
  <si>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</si>
  <si>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</si>
  <si>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</si>
  <si>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</si>
  <si>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</si>
  <si>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</si>
  <si>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</si>
  <si>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</si>
  <si>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</si>
  <si>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</si>
  <si>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</si>
  <si>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</si>
  <si>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</si>
  <si>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</si>
  <si>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</si>
  <si>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</si>
  <si>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</si>
  <si>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</si>
  <si>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</si>
  <si>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</si>
  <si>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</si>
  <si>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</si>
  <si>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</si>
  <si>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</si>
  <si>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</si>
  <si>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</si>
  <si>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</si>
  <si>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</si>
  <si>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</si>
  <si>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</si>
  <si>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</si>
  <si>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</si>
  <si>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</si>
  <si>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</si>
  <si>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</si>
  <si>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</si>
  <si>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</si>
  <si>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</si>
  <si>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</si>
  <si>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</si>
  <si>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</si>
  <si>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</si>
  <si>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</si>
  <si>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</si>
  <si>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</si>
  <si>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</si>
  <si>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</si>
  <si>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</si>
  <si>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</si>
  <si>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</si>
  <si>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</si>
  <si>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</si>
  <si>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</si>
  <si>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</si>
  <si>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</si>
  <si>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</si>
  <si>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</si>
  <si>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</si>
  <si>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</si>
  <si>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</si>
  <si>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</si>
  <si>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</si>
  <si>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</si>
  <si>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</si>
  <si>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</si>
  <si>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</si>
  <si>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</si>
  <si>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</si>
  <si>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</si>
  <si>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</si>
  <si>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</si>
  <si>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</si>
  <si>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</si>
  <si>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</si>
  <si>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</si>
  <si>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</si>
  <si>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</si>
  <si>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</si>
  <si>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</si>
  <si>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</si>
  <si>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</si>
  <si>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</si>
  <si>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</si>
  <si>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</si>
  <si>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</si>
  <si>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</si>
  <si>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</si>
  <si>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</si>
  <si>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</si>
  <si>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</si>
  <si>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</si>
  <si>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</si>
  <si>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</si>
  <si>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</si>
  <si>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</si>
  <si>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</si>
  <si>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</si>
  <si>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</si>
  <si>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</si>
  <si>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</si>
  <si>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</si>
  <si>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</si>
  <si>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</si>
  <si>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</si>
  <si>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</si>
  <si>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</si>
  <si>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</si>
  <si>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</si>
  <si>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</si>
  <si>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</si>
  <si>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</si>
  <si>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</si>
  <si>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</si>
  <si>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</si>
  <si>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</si>
  <si>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</si>
  <si>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</si>
  <si>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</si>
  <si>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</si>
  <si>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</si>
  <si>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</si>
  <si>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</si>
  <si>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</si>
  <si>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</si>
  <si>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</si>
  <si>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</si>
  <si>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</si>
  <si>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</si>
  <si>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</si>
  <si>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</si>
  <si>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</si>
  <si>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</si>
  <si>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</si>
  <si>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</si>
  <si>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</si>
  <si>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</si>
  <si>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</si>
  <si>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</si>
  <si>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</si>
  <si>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</si>
  <si>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</si>
  <si>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</si>
  <si>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</si>
  <si>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</si>
  <si>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</si>
  <si>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</si>
  <si>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</si>
  <si>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</si>
  <si>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</si>
  <si>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</si>
  <si>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</si>
  <si>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</si>
  <si>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</si>
  <si>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</si>
  <si>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</si>
  <si>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</si>
  <si>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</si>
  <si>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</si>
  <si>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</si>
  <si>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</si>
  <si>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</si>
  <si>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</si>
  <si>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</si>
  <si>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</si>
  <si>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</si>
  <si>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</si>
  <si>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</si>
  <si>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</si>
  <si>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</si>
  <si>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</si>
  <si>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</si>
  <si>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</si>
  <si>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</si>
  <si>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</si>
  <si>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</si>
  <si>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</si>
  <si>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</si>
  <si>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</si>
  <si>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</si>
  <si>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</si>
  <si>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</si>
  <si>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</si>
  <si>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</si>
  <si>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</si>
  <si>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</si>
  <si>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</si>
  <si>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</si>
  <si>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</si>
  <si>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</si>
  <si>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</si>
  <si>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</si>
  <si>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</si>
  <si>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</si>
  <si>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</si>
  <si>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</si>
  <si>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</si>
  <si>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</si>
  <si>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</si>
  <si>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</si>
  <si>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</si>
  <si>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</si>
  <si>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</si>
  <si>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</si>
  <si>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</si>
  <si>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</si>
  <si>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</si>
  <si>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</si>
  <si>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</si>
  <si>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</si>
  <si>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</si>
  <si>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</si>
  <si>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</si>
  <si>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</si>
  <si>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</si>
  <si>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</si>
  <si>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</si>
  <si>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</si>
  <si>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</si>
  <si>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</si>
  <si>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</si>
  <si>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</si>
  <si>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</si>
  <si>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</si>
  <si>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</si>
  <si>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</si>
  <si>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</si>
  <si>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</si>
  <si>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</si>
  <si>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</si>
  <si>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</si>
  <si>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</si>
  <si>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</si>
  <si>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</si>
  <si>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</si>
  <si>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</si>
  <si>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</si>
  <si>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</si>
  <si>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</si>
  <si>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</si>
  <si>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</si>
  <si>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</si>
  <si>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</si>
  <si>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</si>
  <si>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</si>
  <si>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</si>
  <si>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</si>
  <si>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</si>
  <si>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</si>
  <si>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</si>
  <si>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</si>
  <si>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</si>
  <si>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</si>
  <si>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</si>
  <si>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</si>
  <si>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</si>
  <si>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</si>
  <si>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</si>
  <si>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</si>
  <si>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</si>
  <si>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</si>
  <si>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</si>
  <si>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</si>
  <si>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</si>
  <si>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</si>
  <si>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</si>
  <si>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</si>
  <si>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</si>
  <si>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</si>
  <si>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</si>
  <si>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</si>
  <si>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</si>
  <si>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</si>
  <si>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</si>
  <si>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</si>
  <si>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</si>
  <si>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</si>
  <si>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</si>
  <si>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</si>
  <si>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</si>
  <si>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</si>
  <si>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</si>
  <si>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</si>
  <si>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</si>
  <si>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</si>
  <si>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</si>
  <si>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</si>
  <si>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</si>
  <si>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</si>
  <si>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</si>
  <si>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</si>
  <si>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</si>
  <si>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</si>
  <si>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</si>
  <si>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</si>
  <si>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</si>
  <si>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</si>
  <si>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</si>
  <si>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</si>
  <si>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</si>
  <si>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</si>
  <si>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</si>
  <si>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</si>
  <si>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</si>
  <si>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</si>
  <si>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</si>
  <si>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</si>
  <si>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</si>
  <si>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</si>
  <si>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</si>
  <si>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</si>
  <si>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</si>
  <si>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</si>
  <si>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</si>
  <si>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</si>
  <si>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</si>
  <si>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</si>
  <si>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</si>
  <si>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</si>
  <si>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</si>
  <si>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</si>
  <si>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</si>
  <si>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</si>
  <si>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</si>
  <si>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</si>
  <si>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</si>
  <si>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</si>
  <si>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</si>
  <si>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</si>
  <si>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</si>
  <si>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</si>
  <si>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</si>
  <si>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</si>
  <si>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</si>
  <si>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</si>
  <si>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</si>
  <si>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</si>
  <si>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</si>
  <si>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</si>
  <si>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</si>
  <si>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</si>
  <si>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</si>
  <si>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</si>
  <si>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</si>
  <si>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</si>
  <si>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</si>
  <si>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</si>
  <si>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</si>
  <si>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</si>
  <si>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</si>
  <si>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</si>
  <si>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</si>
  <si>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</si>
  <si>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</si>
  <si>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</si>
  <si>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</si>
  <si>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</si>
  <si>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</si>
  <si>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</si>
  <si>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</si>
  <si>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</si>
  <si>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</si>
  <si>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</si>
  <si>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</si>
  <si>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</si>
  <si>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</si>
  <si>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</si>
  <si>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</si>
  <si>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</si>
  <si>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</si>
  <si>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</si>
  <si>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</si>
  <si>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</si>
  <si>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</si>
  <si>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</si>
  <si>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</si>
  <si>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</si>
  <si>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</si>
  <si>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</si>
  <si>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</si>
  <si>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</si>
  <si>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</si>
  <si>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</si>
  <si>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</si>
  <si>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</si>
  <si>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</si>
  <si>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</si>
  <si>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</si>
  <si>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</si>
  <si>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</si>
  <si>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</si>
  <si>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</si>
  <si>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</si>
  <si>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</si>
  <si>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</si>
  <si>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</si>
  <si>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</si>
  <si>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</si>
  <si>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</si>
  <si>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</si>
  <si>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</si>
  <si>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</si>
  <si>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</si>
  <si>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</si>
  <si>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</si>
  <si>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</si>
  <si>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</si>
  <si>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</si>
  <si>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</si>
  <si>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</si>
  <si>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</si>
  <si>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</si>
  <si>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</si>
  <si>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</si>
  <si>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</si>
  <si>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</si>
  <si>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</si>
  <si>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</si>
  <si>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</si>
  <si>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</si>
  <si>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</si>
  <si>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</si>
  <si>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</si>
  <si>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</si>
  <si>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</si>
  <si>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</si>
  <si>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</si>
  <si>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</si>
  <si>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</si>
  <si>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</si>
  <si>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</si>
  <si>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</si>
  <si>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</si>
  <si>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</si>
  <si>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</si>
  <si>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</si>
  <si>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</si>
  <si>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</si>
  <si>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</si>
  <si>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</si>
  <si>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</si>
  <si>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</si>
  <si>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</si>
  <si>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</si>
  <si>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</si>
  <si>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</si>
  <si>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</si>
  <si>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</si>
  <si>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</si>
  <si>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</si>
  <si>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</si>
  <si>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</si>
  <si>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</si>
  <si>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</si>
  <si>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</si>
  <si>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</si>
  <si>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</si>
  <si>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</si>
  <si>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</si>
  <si>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</si>
  <si>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</si>
  <si>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</si>
  <si>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</si>
  <si>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</si>
  <si>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</si>
  <si>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</si>
  <si>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</si>
  <si>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</si>
  <si>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</si>
  <si>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</si>
  <si>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</si>
  <si>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</si>
  <si>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</si>
  <si>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</si>
  <si>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</si>
  <si>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</si>
  <si>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</si>
  <si>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</si>
  <si>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</si>
  <si>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</si>
  <si>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</si>
  <si>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</si>
  <si>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</si>
  <si>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</si>
  <si>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</si>
  <si>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</si>
  <si>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</si>
  <si>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</si>
  <si>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</si>
  <si>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</si>
  <si>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</si>
  <si>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</si>
  <si>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</si>
  <si>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</si>
  <si>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</si>
  <si>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</si>
  <si>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</si>
  <si>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</si>
  <si>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</si>
  <si>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</si>
  <si>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</si>
  <si>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</si>
  <si>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</si>
  <si>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</si>
  <si>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</si>
  <si>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</si>
  <si>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</si>
  <si>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</si>
  <si>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</si>
  <si>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</si>
  <si>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</si>
  <si>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</si>
  <si>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</si>
  <si>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</si>
  <si>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</si>
  <si>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</si>
  <si>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</si>
  <si>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</si>
  <si>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</si>
  <si>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</si>
  <si>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</si>
  <si>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</si>
  <si>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</si>
  <si>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</si>
  <si>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</si>
  <si>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</si>
  <si>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</si>
  <si>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</si>
  <si>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</si>
  <si>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</si>
  <si>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</si>
  <si>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</si>
  <si>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</si>
  <si>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</si>
  <si>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</si>
  <si>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</si>
  <si>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</si>
  <si>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</si>
  <si>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</si>
  <si>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</si>
  <si>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</si>
  <si>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</si>
  <si>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</si>
  <si>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</si>
  <si>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</si>
  <si>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</si>
  <si>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</si>
  <si>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</si>
  <si>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</si>
  <si>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</si>
  <si>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</si>
  <si>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</si>
  <si>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</si>
  <si>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</si>
  <si>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</si>
  <si>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</si>
  <si>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</si>
  <si>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</si>
  <si>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</si>
  <si>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</si>
  <si>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</si>
  <si>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</si>
  <si>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</si>
  <si>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</si>
  <si>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</si>
  <si>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</si>
  <si>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</si>
  <si>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</si>
  <si>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</si>
  <si>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</si>
  <si>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</si>
  <si>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</si>
  <si>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</si>
  <si>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</si>
  <si>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</si>
  <si>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</si>
  <si>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</si>
  <si>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</si>
  <si>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</si>
  <si>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</si>
  <si>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</si>
  <si>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</si>
  <si>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</si>
  <si>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</si>
  <si>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</si>
  <si>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</si>
  <si>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</si>
  <si>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</si>
  <si>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</si>
  <si>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</si>
  <si>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</si>
  <si>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</si>
  <si>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</si>
  <si>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</si>
  <si>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</si>
  <si>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</si>
  <si>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</si>
  <si>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</si>
  <si>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</si>
  <si>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</si>
  <si>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</si>
  <si>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</si>
  <si>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</si>
  <si>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</si>
  <si>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</si>
  <si>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</si>
  <si>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</si>
  <si>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</si>
  <si>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</si>
  <si>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</si>
  <si>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</si>
  <si>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</si>
  <si>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</si>
  <si>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</si>
  <si>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</si>
  <si>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</si>
  <si>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</si>
  <si>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</si>
  <si>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</si>
  <si>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</si>
  <si>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</si>
  <si>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</si>
  <si>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</si>
  <si>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</si>
  <si>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</si>
  <si>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</si>
  <si>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</si>
  <si>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</si>
  <si>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</si>
  <si>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</si>
  <si>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</si>
  <si>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</si>
  <si>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</si>
  <si>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</si>
  <si>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</si>
  <si>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</si>
  <si>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</si>
  <si>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</si>
  <si>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</si>
  <si>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</si>
  <si>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</si>
  <si>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</si>
  <si>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</si>
  <si>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</si>
  <si>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</si>
  <si>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</si>
  <si>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</si>
  <si>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</si>
  <si>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</si>
  <si>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</si>
  <si>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</si>
  <si>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</si>
  <si>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</si>
  <si>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</si>
  <si>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</si>
  <si>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</si>
  <si>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</si>
  <si>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</si>
  <si>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</si>
  <si>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</si>
  <si>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</si>
  <si>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</si>
  <si>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</si>
  <si>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</si>
  <si>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</si>
  <si>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</si>
  <si>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</si>
  <si>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</si>
  <si>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</si>
  <si>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</si>
  <si>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</si>
  <si>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</si>
  <si>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</si>
  <si>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</si>
  <si>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</si>
  <si>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</si>
  <si>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</si>
  <si>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</si>
  <si>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</si>
  <si>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</si>
  <si>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</si>
  <si>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</si>
  <si>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</si>
  <si>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</si>
  <si>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</si>
  <si>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</si>
  <si>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</si>
  <si>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</si>
  <si>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</si>
  <si>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</si>
  <si>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</si>
  <si>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</si>
  <si>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</si>
  <si>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</si>
  <si>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</si>
  <si>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</si>
  <si>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</si>
  <si>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</si>
  <si>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</si>
  <si>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</si>
  <si>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</si>
  <si>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</si>
  <si>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</si>
  <si>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</si>
  <si>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</si>
  <si>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</si>
  <si>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</si>
  <si>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</si>
  <si>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</si>
  <si>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</si>
  <si>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</si>
  <si>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</si>
  <si>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</si>
  <si>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</si>
  <si>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</si>
  <si>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</si>
  <si>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</si>
  <si>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</si>
  <si>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</si>
  <si>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</si>
  <si>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</si>
  <si>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</si>
  <si>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</si>
  <si>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</si>
  <si>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</si>
  <si>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</si>
  <si>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</si>
  <si>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</si>
  <si>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</si>
  <si>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</si>
  <si>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</si>
  <si>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</si>
  <si>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</si>
  <si>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</si>
  <si>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</si>
  <si>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</si>
  <si>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</si>
  <si>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</si>
  <si>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</si>
  <si>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</si>
  <si>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</si>
  <si>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</si>
  <si>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</si>
  <si>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</si>
  <si>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</si>
  <si>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</si>
  <si>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</si>
  <si>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</si>
  <si>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</si>
  <si>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</si>
  <si>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</si>
  <si>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</si>
  <si>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</si>
  <si>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</si>
  <si>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</si>
  <si>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</si>
  <si>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</si>
  <si>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</si>
  <si>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</si>
  <si>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</si>
  <si>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</si>
  <si>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</si>
  <si>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</si>
  <si>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</si>
  <si>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</si>
  <si>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</si>
  <si>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</si>
  <si>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</si>
  <si>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</si>
  <si>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</si>
  <si>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</si>
  <si>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</si>
  <si>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</si>
  <si>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</si>
  <si>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</si>
  <si>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</si>
  <si>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</si>
  <si>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</si>
  <si>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</si>
  <si>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</si>
  <si>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</si>
  <si>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</si>
  <si>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</si>
  <si>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</si>
  <si>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</si>
  <si>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</si>
  <si>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</si>
  <si>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</si>
  <si>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</si>
  <si>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</si>
  <si>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</si>
  <si>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</si>
  <si>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</si>
  <si>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</si>
  <si>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</si>
  <si>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</si>
  <si>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</si>
  <si>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</si>
  <si>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</si>
  <si>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</si>
  <si>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</si>
  <si>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</si>
  <si>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</si>
  <si>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</si>
  <si>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</si>
  <si>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</si>
  <si>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</si>
  <si>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</si>
  <si>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</si>
  <si>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</si>
  <si>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</si>
  <si>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</si>
  <si>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</si>
  <si>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</si>
  <si>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</si>
  <si>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</si>
  <si>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</si>
  <si>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</si>
  <si>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</si>
  <si>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</si>
  <si>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</si>
  <si>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</si>
  <si>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</si>
  <si>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</si>
  <si>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</si>
  <si>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</si>
  <si>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</si>
  <si>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</si>
  <si>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</si>
  <si>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</si>
  <si>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</si>
  <si>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</si>
  <si>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</si>
  <si>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</si>
  <si>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</si>
  <si>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</si>
  <si>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</si>
  <si>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</si>
  <si>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</si>
  <si>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</si>
  <si>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</si>
  <si>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</si>
  <si>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</si>
  <si>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</si>
  <si>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</si>
  <si>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</si>
  <si>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</si>
  <si>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</si>
  <si>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</si>
  <si>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</si>
  <si>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</si>
  <si>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</si>
  <si>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</si>
  <si>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</si>
  <si>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</si>
  <si>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</si>
  <si>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</si>
  <si>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</si>
  <si>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</si>
  <si>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</si>
  <si>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</si>
  <si>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</si>
  <si>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</si>
  <si>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</si>
  <si>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</si>
  <si>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</si>
  <si>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</si>
  <si>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</si>
  <si>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</si>
  <si>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</si>
  <si>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</si>
  <si>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</si>
  <si>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</si>
  <si>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</si>
  <si>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</si>
  <si>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</si>
  <si>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</si>
  <si>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</si>
  <si>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</si>
  <si>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</si>
  <si>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</si>
  <si>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</si>
  <si>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</si>
  <si>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</si>
  <si>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</si>
  <si>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</si>
  <si>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</si>
  <si>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</si>
  <si>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</si>
  <si>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</si>
  <si>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</si>
  <si>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</si>
  <si>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</si>
  <si>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</si>
  <si>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</si>
  <si>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</si>
  <si>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</si>
  <si>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</si>
  <si>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</si>
  <si>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</si>
  <si>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</si>
  <si>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</si>
  <si>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</si>
  <si>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</si>
  <si>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</si>
  <si>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</si>
  <si>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</si>
  <si>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</si>
  <si>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</si>
  <si>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</si>
  <si>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</si>
  <si>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</si>
  <si>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</si>
  <si>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</si>
  <si>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</si>
  <si>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</si>
  <si>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</si>
  <si>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</si>
  <si>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</si>
  <si>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</si>
  <si>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</si>
  <si>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</si>
  <si>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</si>
  <si>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</si>
  <si>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</si>
  <si>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</si>
  <si>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</si>
  <si>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</si>
  <si>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</si>
  <si>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</si>
  <si>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</si>
  <si>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</si>
  <si>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</si>
  <si>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</si>
  <si>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</si>
  <si>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</si>
  <si>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</si>
  <si>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</si>
  <si>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</si>
  <si>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</si>
  <si>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</si>
  <si>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</si>
  <si>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</si>
  <si>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</si>
  <si>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</si>
  <si>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</si>
  <si>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</si>
  <si>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</si>
  <si>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</si>
  <si>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</si>
  <si>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</si>
  <si>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</si>
  <si>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</si>
  <si>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</si>
  <si>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</si>
  <si>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</si>
  <si>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</si>
  <si>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</si>
  <si>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</si>
  <si>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</si>
  <si>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</si>
  <si>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</si>
  <si>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</si>
  <si>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</si>
  <si>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</si>
  <si>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</si>
  <si>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</si>
  <si>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</si>
  <si>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</si>
  <si>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</si>
  <si>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</si>
  <si>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</si>
  <si>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</si>
  <si>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</si>
  <si>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</si>
  <si>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</si>
  <si>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</si>
  <si>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</si>
  <si>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</si>
  <si>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</si>
  <si>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</si>
  <si>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</si>
  <si>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</si>
  <si>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</si>
  <si>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</si>
  <si>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</si>
  <si>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</si>
  <si>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</si>
  <si>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</si>
  <si>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</si>
  <si>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</si>
  <si>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</si>
  <si>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</si>
  <si>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</si>
  <si>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</si>
  <si>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</si>
  <si>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</si>
  <si>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</si>
  <si>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</si>
  <si>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</si>
  <si>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</si>
  <si>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</si>
  <si>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</si>
  <si>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</si>
  <si>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</si>
  <si>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</si>
  <si>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</si>
  <si>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</si>
  <si>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</si>
  <si>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</si>
  <si>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</si>
  <si>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</si>
  <si>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</si>
  <si>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</si>
  <si>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</si>
  <si>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</si>
  <si>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</si>
  <si>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</si>
  <si>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</si>
  <si>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</si>
  <si>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</si>
  <si>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</si>
  <si>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</si>
  <si>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</si>
  <si>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</si>
  <si>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</si>
  <si>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</si>
  <si>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</si>
  <si>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</si>
  <si>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</si>
  <si>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</si>
  <si>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</si>
  <si>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</si>
  <si>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</si>
  <si>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</si>
  <si>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</si>
  <si>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</si>
  <si>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</si>
  <si>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</si>
  <si>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</si>
  <si>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</si>
  <si>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</si>
  <si>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</si>
  <si>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</si>
  <si>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</si>
  <si>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</si>
  <si>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</si>
  <si>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</si>
  <si>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</si>
  <si>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</si>
  <si>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</si>
  <si>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</si>
  <si>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</si>
  <si>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</si>
  <si>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</si>
  <si>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</si>
  <si>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</si>
  <si>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</si>
  <si>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</si>
  <si>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</si>
  <si>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</si>
  <si>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</si>
  <si>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</si>
  <si>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</si>
  <si>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</si>
  <si>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</si>
  <si>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</si>
  <si>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</si>
  <si>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</si>
  <si>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</si>
  <si>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</si>
  <si>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</si>
  <si>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</si>
  <si>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</si>
  <si>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</si>
  <si>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</si>
  <si>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</si>
  <si>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</si>
  <si>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</si>
  <si>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</si>
  <si>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</si>
  <si>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</si>
  <si>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</si>
  <si>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</si>
  <si>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</si>
  <si>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</si>
  <si>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</si>
  <si>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</si>
  <si>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</si>
  <si>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</si>
  <si>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</si>
  <si>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</si>
  <si>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</si>
  <si>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</si>
  <si>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</si>
  <si>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</si>
  <si>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</si>
  <si>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</si>
  <si>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</si>
  <si>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</si>
  <si>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</si>
  <si>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</si>
  <si>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</si>
  <si>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</si>
  <si>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</si>
  <si>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</si>
  <si>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</si>
  <si>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</si>
  <si>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楼盘名称</t>
  </si>
  <si>
    <t>楼阁名称</t>
  </si>
  <si>
    <t>楼层名称</t>
  </si>
  <si>
    <t>单元名称</t>
  </si>
  <si>
    <t>租户名称</t>
  </si>
  <si>
    <t>计费面积</t>
    <phoneticPr fontId="4" type="noConversion"/>
  </si>
  <si>
    <t>签约单价</t>
    <phoneticPr fontId="4" type="noConversion"/>
  </si>
  <si>
    <t>合同期限</t>
  </si>
  <si>
    <t>支付方式</t>
    <phoneticPr fontId="257" type="noConversion"/>
  </si>
  <si>
    <t>乐成中心</t>
  </si>
  <si>
    <t>A座</t>
  </si>
  <si>
    <t>第06层</t>
  </si>
  <si>
    <t>A6F</t>
  </si>
  <si>
    <t>沃尔玛（北京）商业零售有限公司</t>
  </si>
  <si>
    <t>2015-01-01至2019-03-31</t>
  </si>
  <si>
    <t>月付</t>
    <phoneticPr fontId="257" type="noConversion"/>
  </si>
  <si>
    <t>第07层</t>
  </si>
  <si>
    <t>A0701-05、09</t>
    <phoneticPr fontId="257" type="noConversion"/>
  </si>
  <si>
    <t>众惠财产相互保险社（筹）</t>
    <phoneticPr fontId="257" type="noConversion"/>
  </si>
  <si>
    <t>2016-06-01至2019-08-15</t>
    <phoneticPr fontId="257" type="noConversion"/>
  </si>
  <si>
    <t>第08层</t>
  </si>
  <si>
    <t>A0801-0805</t>
  </si>
  <si>
    <t>天津优驰信息技术有限公司</t>
  </si>
  <si>
    <t>2016-02-01至2019-05-31</t>
    <phoneticPr fontId="257" type="noConversion"/>
  </si>
  <si>
    <t>A0806-0809</t>
  </si>
  <si>
    <t>元源普慧信息服务（北京）有限公司</t>
    <phoneticPr fontId="4" type="noConversion"/>
  </si>
  <si>
    <t>2017-06-16至2020-08-15</t>
    <phoneticPr fontId="257" type="noConversion"/>
  </si>
  <si>
    <t>第09层</t>
  </si>
  <si>
    <t>A0901、05-09</t>
    <phoneticPr fontId="257" type="noConversion"/>
  </si>
  <si>
    <t>北京品友互动信息技术股份公司</t>
    <phoneticPr fontId="257" type="noConversion"/>
  </si>
  <si>
    <t>A0902-0903</t>
  </si>
  <si>
    <t>北京品友互动信息技术股份公司</t>
  </si>
  <si>
    <t>2016-03-10至2019-05-31</t>
    <phoneticPr fontId="257" type="noConversion"/>
  </si>
  <si>
    <t>第11层</t>
  </si>
  <si>
    <t>A1101-02</t>
  </si>
  <si>
    <t>北京华清新能互联投资有限公司</t>
  </si>
  <si>
    <t>2016-06-13至2019-07-31</t>
    <phoneticPr fontId="257" type="noConversion"/>
  </si>
  <si>
    <t>A1106</t>
    <phoneticPr fontId="257" type="noConversion"/>
  </si>
  <si>
    <t>吴征宇</t>
  </si>
  <si>
    <t>2017-04-01至2020-3-31</t>
    <phoneticPr fontId="257" type="noConversion"/>
  </si>
  <si>
    <t>A1106-1108</t>
    <phoneticPr fontId="257" type="noConversion"/>
  </si>
  <si>
    <t>北京利合投资控股有限责任公司</t>
  </si>
  <si>
    <t>2017-03-21至2020-03-20</t>
    <phoneticPr fontId="257" type="noConversion"/>
  </si>
  <si>
    <t>A1109</t>
    <phoneticPr fontId="257" type="noConversion"/>
  </si>
  <si>
    <t>北京新景祥网络科技有限公司</t>
  </si>
  <si>
    <t>第12层</t>
  </si>
  <si>
    <t>A12F</t>
  </si>
  <si>
    <t>中英人寿保险有限公司</t>
  </si>
  <si>
    <t>2016-05-01至2019-04-30</t>
    <phoneticPr fontId="257" type="noConversion"/>
  </si>
  <si>
    <t>第15层</t>
  </si>
  <si>
    <t>A15F</t>
    <phoneticPr fontId="257" type="noConversion"/>
  </si>
  <si>
    <t>2016-01-01至2019-04-30</t>
    <phoneticPr fontId="257" type="noConversion"/>
  </si>
  <si>
    <t>第16层</t>
  </si>
  <si>
    <t>A16-17F</t>
  </si>
  <si>
    <t>中美联泰大都会人寿保险有限公司北京分公司</t>
    <phoneticPr fontId="4" type="noConversion"/>
  </si>
  <si>
    <t>2017-03-01至2020-03-31</t>
    <phoneticPr fontId="257" type="noConversion"/>
  </si>
  <si>
    <t>第20层</t>
  </si>
  <si>
    <t>A2001-03、09</t>
  </si>
  <si>
    <t>北京中金瑞信投资基金管理有限公司</t>
    <phoneticPr fontId="4" type="noConversion"/>
  </si>
  <si>
    <t>2017-02-20至2020-04-19</t>
    <phoneticPr fontId="257" type="noConversion"/>
  </si>
  <si>
    <t>第21层</t>
  </si>
  <si>
    <t>A2101</t>
    <phoneticPr fontId="257" type="noConversion"/>
  </si>
  <si>
    <t>北京亿信华鑫科技股份有限公司</t>
    <phoneticPr fontId="257" type="noConversion"/>
  </si>
  <si>
    <t>2016-12-01至2019-12-31</t>
    <phoneticPr fontId="257" type="noConversion"/>
  </si>
  <si>
    <t>A座</t>
    <phoneticPr fontId="257" type="noConversion"/>
  </si>
  <si>
    <t>第21层</t>
    <phoneticPr fontId="257" type="noConversion"/>
  </si>
  <si>
    <t>A2106-09</t>
    <phoneticPr fontId="257" type="noConversion"/>
  </si>
  <si>
    <t>北京盛盈保泰投资担保有限公司</t>
    <phoneticPr fontId="257" type="noConversion"/>
  </si>
  <si>
    <t>2016-11-1至2019-12-31</t>
    <phoneticPr fontId="257" type="noConversion"/>
  </si>
  <si>
    <t>第25层</t>
  </si>
  <si>
    <t>A25F</t>
  </si>
  <si>
    <t>冠诚（北京）信息服务有限公司</t>
  </si>
  <si>
    <t>2017-06-01至2020-05-31</t>
    <phoneticPr fontId="257" type="noConversion"/>
  </si>
  <si>
    <t>第26层</t>
  </si>
  <si>
    <t>A26F</t>
  </si>
  <si>
    <t>东方泓运（北京）资产管理有限公司</t>
  </si>
  <si>
    <t>2016-10-01至2019-09-30</t>
    <phoneticPr fontId="257" type="noConversion"/>
  </si>
  <si>
    <t>第29层</t>
  </si>
  <si>
    <t>A29F</t>
  </si>
  <si>
    <t>远盟康健科技有限公司</t>
  </si>
  <si>
    <t>2016-11-16至2020-03-31</t>
    <phoneticPr fontId="257" type="noConversion"/>
  </si>
  <si>
    <t>B座</t>
  </si>
  <si>
    <t>第05层</t>
  </si>
  <si>
    <t>B0505</t>
  </si>
  <si>
    <t>鑫盛富通金融服务外包（北京）有限公司</t>
  </si>
  <si>
    <t>2017-06-12至2020-07-11</t>
    <phoneticPr fontId="257" type="noConversion"/>
  </si>
  <si>
    <t>B0506</t>
  </si>
  <si>
    <t>乾晟（杭州）资产管理有限公司</t>
    <phoneticPr fontId="257" type="noConversion"/>
  </si>
  <si>
    <t>2017-07-10至2020-08-24</t>
    <phoneticPr fontId="257" type="noConversion"/>
  </si>
  <si>
    <t>2月1付</t>
    <phoneticPr fontId="257" type="noConversion"/>
  </si>
  <si>
    <t>B0606</t>
  </si>
  <si>
    <t>北京融汇中投资产管理有限公司</t>
    <phoneticPr fontId="4" type="noConversion"/>
  </si>
  <si>
    <t>2014-01-01至2019-12-31</t>
    <phoneticPr fontId="257" type="noConversion"/>
  </si>
  <si>
    <t>季付</t>
    <phoneticPr fontId="257" type="noConversion"/>
  </si>
  <si>
    <t>B0607-608</t>
  </si>
  <si>
    <t>宝龄国际健康管理（北京）有限公司</t>
  </si>
  <si>
    <t>2017-02-15至2020-04-14</t>
    <phoneticPr fontId="257" type="noConversion"/>
  </si>
  <si>
    <t>B0706-07</t>
    <phoneticPr fontId="257" type="noConversion"/>
  </si>
  <si>
    <t>北京明德睿信投资管理有限公司</t>
    <phoneticPr fontId="257" type="noConversion"/>
  </si>
  <si>
    <t>2017-08-01至2020-07-31</t>
    <phoneticPr fontId="257" type="noConversion"/>
  </si>
  <si>
    <t>B0708</t>
  </si>
  <si>
    <t>安朗杰安防技术（中国）有限公司</t>
  </si>
  <si>
    <t>2016-06-01至2019-06-30</t>
    <phoneticPr fontId="257" type="noConversion"/>
  </si>
  <si>
    <t>月付</t>
    <phoneticPr fontId="257" type="noConversion"/>
  </si>
  <si>
    <t>B0709</t>
  </si>
  <si>
    <t>北京海润财通资产管理有限公司</t>
  </si>
  <si>
    <t>2016-12-01至2019-12-31</t>
    <phoneticPr fontId="257" type="noConversion"/>
  </si>
  <si>
    <t>B0801-803</t>
  </si>
  <si>
    <t>合星卓越财富管理有限公司</t>
  </si>
  <si>
    <t>2016-08-03至2019-09-02</t>
    <phoneticPr fontId="257" type="noConversion"/>
  </si>
  <si>
    <t>B0805</t>
  </si>
  <si>
    <t>上海象印家用电器有限公司</t>
    <phoneticPr fontId="4" type="noConversion"/>
  </si>
  <si>
    <t>2016-05-01至2019-06-30</t>
    <phoneticPr fontId="257" type="noConversion"/>
  </si>
  <si>
    <t>B0806</t>
  </si>
  <si>
    <t>北京赛硕科技有限公司</t>
    <phoneticPr fontId="4" type="noConversion"/>
  </si>
  <si>
    <t>2017-08-07至2020-09-06</t>
    <phoneticPr fontId="257" type="noConversion"/>
  </si>
  <si>
    <t>B0807-0809</t>
  </si>
  <si>
    <t>万达财富（北京）信用评估有限公司</t>
    <phoneticPr fontId="4" type="noConversion"/>
  </si>
  <si>
    <t>2017-05-20至2019-05-19</t>
    <phoneticPr fontId="257" type="noConversion"/>
  </si>
  <si>
    <t>B9F</t>
  </si>
  <si>
    <t>中亿行投资担保（北京）有限公司</t>
  </si>
  <si>
    <t>2016-04-01至2019-06-30</t>
    <phoneticPr fontId="257" type="noConversion"/>
  </si>
  <si>
    <t>第10层</t>
  </si>
  <si>
    <t>B1005-1007</t>
  </si>
  <si>
    <t>北京鸿坤天诚投资有限公司</t>
    <phoneticPr fontId="257" type="noConversion"/>
  </si>
  <si>
    <t>2017-08-01至2020-09-10</t>
    <phoneticPr fontId="257" type="noConversion"/>
  </si>
  <si>
    <t>B1008-1009</t>
  </si>
  <si>
    <t>康美林弗泰克（北京）医疗器械有限公司</t>
    <phoneticPr fontId="4" type="noConversion"/>
  </si>
  <si>
    <t>2016-07-01至2019-09-30</t>
    <phoneticPr fontId="257" type="noConversion"/>
  </si>
  <si>
    <t>B1101</t>
  </si>
  <si>
    <t>开弦资本管理有限公司</t>
  </si>
  <si>
    <t>2016-08-10至2019-08-31</t>
    <phoneticPr fontId="257" type="noConversion"/>
  </si>
  <si>
    <t>B1102</t>
  </si>
  <si>
    <t>湖北金融租赁股份有限公司</t>
  </si>
  <si>
    <t>2017-06-01至2020-06-30</t>
    <phoneticPr fontId="257" type="noConversion"/>
  </si>
  <si>
    <t>B1106-1109</t>
  </si>
  <si>
    <t>中国欧美进出口有限公司</t>
  </si>
  <si>
    <t>2016-04-01至2019-05-31</t>
    <phoneticPr fontId="257" type="noConversion"/>
  </si>
  <si>
    <t>B1501</t>
  </si>
  <si>
    <t>华创证券有限责任公司北京东三环中路证券营业部</t>
  </si>
  <si>
    <t>2016-06-20至2019-06-30</t>
    <phoneticPr fontId="257" type="noConversion"/>
  </si>
  <si>
    <t>B1502</t>
  </si>
  <si>
    <t>2016-03-01至2019-06-30</t>
    <phoneticPr fontId="257" type="noConversion"/>
  </si>
  <si>
    <t>B1506-07</t>
    <phoneticPr fontId="257" type="noConversion"/>
  </si>
  <si>
    <t>九三粮油工业集团有限公司</t>
    <phoneticPr fontId="4" type="noConversion"/>
  </si>
  <si>
    <t>2016-11-15至2019-11-14</t>
    <phoneticPr fontId="257" type="noConversion"/>
  </si>
  <si>
    <t>B1508-09</t>
    <phoneticPr fontId="257" type="noConversion"/>
  </si>
  <si>
    <t>2016-12-01至2020-02-15</t>
    <phoneticPr fontId="257" type="noConversion"/>
  </si>
  <si>
    <t>B1601-05</t>
  </si>
  <si>
    <t>中美联泰大都会人寿保险有限公司北京分公司</t>
  </si>
  <si>
    <t>2016-08-01至2020-03-31</t>
    <phoneticPr fontId="257" type="noConversion"/>
  </si>
  <si>
    <t>B1606-07</t>
    <phoneticPr fontId="257" type="noConversion"/>
  </si>
  <si>
    <t>东海岸国际投资（北京）有限公司</t>
  </si>
  <si>
    <t>B1608-09</t>
  </si>
  <si>
    <t>北京宝瑞通寄卖行有限责任公司</t>
  </si>
  <si>
    <t>2016-09-12至2019-10-11</t>
    <phoneticPr fontId="257" type="noConversion"/>
  </si>
  <si>
    <t>第17层</t>
  </si>
  <si>
    <t>B1701-1703</t>
  </si>
  <si>
    <t>中意财产保险有限公司</t>
  </si>
  <si>
    <t>2016-04-20至2019-06-19</t>
    <phoneticPr fontId="257" type="noConversion"/>
  </si>
  <si>
    <t>月付</t>
    <phoneticPr fontId="257" type="noConversion"/>
  </si>
  <si>
    <t>第19层</t>
  </si>
  <si>
    <t>B19F</t>
  </si>
  <si>
    <t>中企鸿盛（北京）投资基金管理有限公司</t>
    <phoneticPr fontId="4" type="noConversion"/>
  </si>
  <si>
    <t>2016-12-08至2019-01-07</t>
    <phoneticPr fontId="257" type="noConversion"/>
  </si>
  <si>
    <t>第22层</t>
  </si>
  <si>
    <t>B2201、06-09</t>
  </si>
  <si>
    <t>北京骏德国际投资管理有限公司</t>
  </si>
  <si>
    <t>2017-06-01至2020-08-14</t>
    <phoneticPr fontId="257" type="noConversion"/>
  </si>
  <si>
    <t>B2203-05</t>
    <phoneticPr fontId="257" type="noConversion"/>
  </si>
  <si>
    <t>北京诺融信科信息技术有限公司</t>
  </si>
  <si>
    <t>2017-06-15至2020-08-14</t>
    <phoneticPr fontId="257" type="noConversion"/>
  </si>
  <si>
    <t>第23层</t>
  </si>
  <si>
    <t>B2301</t>
    <phoneticPr fontId="4" type="noConversion"/>
  </si>
  <si>
    <t>北京钧越网秀体育发展有限责任公司</t>
  </si>
  <si>
    <t>2016-09-01至2019-11-15</t>
    <phoneticPr fontId="257" type="noConversion"/>
  </si>
  <si>
    <t>B2302</t>
  </si>
  <si>
    <t>北京韦弦菁英体育推广有限公司</t>
    <phoneticPr fontId="257" type="noConversion"/>
  </si>
  <si>
    <t>B2303-06</t>
    <phoneticPr fontId="4" type="noConversion"/>
  </si>
  <si>
    <t>北京新每经文化传播有限公司</t>
  </si>
  <si>
    <t>2016-11-16至2020-01-31</t>
    <phoneticPr fontId="257" type="noConversion"/>
  </si>
  <si>
    <t>B2307-09</t>
    <phoneticPr fontId="4" type="noConversion"/>
  </si>
  <si>
    <t>山西亨泰尔互联网科技有限公司</t>
    <phoneticPr fontId="257" type="noConversion"/>
  </si>
  <si>
    <t>2017-09-01至2020-10-31</t>
    <phoneticPr fontId="257" type="noConversion"/>
  </si>
  <si>
    <t>B25F</t>
    <phoneticPr fontId="257" type="noConversion"/>
  </si>
  <si>
    <t>北京兴安富邦矿业有限公司</t>
  </si>
  <si>
    <t>2017-05-01至2020-07-31</t>
    <phoneticPr fontId="257" type="noConversion"/>
  </si>
  <si>
    <t>B2605</t>
    <phoneticPr fontId="4" type="noConversion"/>
  </si>
  <si>
    <t>北京华云合创科技有限公司</t>
  </si>
  <si>
    <t>2016-09-01至2019-09-30</t>
    <phoneticPr fontId="257" type="noConversion"/>
  </si>
  <si>
    <t>B2901、2903</t>
  </si>
  <si>
    <t>北京金源康科技有限公司</t>
    <phoneticPr fontId="257" type="noConversion"/>
  </si>
  <si>
    <t>2017-06-20至2020-08-03</t>
    <phoneticPr fontId="257" type="noConversion"/>
  </si>
  <si>
    <t>第30层</t>
  </si>
  <si>
    <t>B30F</t>
  </si>
  <si>
    <t>北京华高垵铂投资顾问有限公司</t>
  </si>
  <si>
    <t>2016-07-01至2019-09-15</t>
    <phoneticPr fontId="257" type="noConversion"/>
  </si>
  <si>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</si>
  <si>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</si>
  <si>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</si>
  <si>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</si>
  <si>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</si>
  <si>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</si>
  <si>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</si>
  <si>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</si>
  <si>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</si>
  <si>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</si>
  <si>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L313</t>
    <phoneticPr fontId="257" type="noConversion"/>
  </si>
  <si>
    <t>北京梦幻空间咘噜教育科技有限公司</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</si>
  <si>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</si>
  <si>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</si>
  <si>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</si>
  <si>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</si>
  <si>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</si>
  <si>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</si>
  <si>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</si>
  <si>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</si>
  <si>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</si>
  <si>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</si>
  <si>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</si>
  <si>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</si>
  <si>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</si>
  <si>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单位租金</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</si>
  <si>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</si>
  <si>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</si>
  <si>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</si>
  <si>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</si>
  <si>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</si>
  <si>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</si>
  <si>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</si>
  <si>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</si>
  <si>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</si>
  <si>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</si>
  <si>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</si>
  <si>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</si>
  <si>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</si>
  <si>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</si>
  <si>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</si>
  <si>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</si>
  <si>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</si>
  <si>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</si>
  <si>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</si>
  <si>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</si>
  <si>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</si>
  <si>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</si>
  <si>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</si>
  <si>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</si>
  <si>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</si>
  <si>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</si>
  <si>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</si>
  <si>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</si>
  <si>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</si>
  <si>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</si>
  <si>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</si>
  <si>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</si>
  <si>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</si>
  <si>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</si>
  <si>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</si>
  <si>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</si>
  <si>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</si>
  <si>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</si>
  <si>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</si>
  <si>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</si>
  <si>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</si>
  <si>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</si>
  <si>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</si>
  <si>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</si>
  <si>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</si>
  <si>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</si>
  <si>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</si>
  <si>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</si>
  <si>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</si>
  <si>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</si>
  <si>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</si>
  <si>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</si>
  <si>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</si>
  <si>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</si>
  <si>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</si>
  <si>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</si>
  <si>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</si>
  <si>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</si>
  <si>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</si>
  <si>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</si>
  <si>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</si>
  <si>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</si>
  <si>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</si>
  <si>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</si>
  <si>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</si>
  <si>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</si>
  <si>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</si>
  <si>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</si>
  <si>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</si>
  <si>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</si>
  <si>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</si>
  <si>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</si>
  <si>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</si>
  <si>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</si>
  <si>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</si>
  <si>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</si>
  <si>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</si>
  <si>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</si>
  <si>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</si>
  <si>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</si>
  <si>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</si>
  <si>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</si>
  <si>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</si>
  <si>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</si>
  <si>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</si>
  <si>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</si>
  <si>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</si>
  <si>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</si>
  <si>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</si>
  <si>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</si>
  <si>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</si>
  <si>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</si>
  <si>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</si>
  <si>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</si>
  <si>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</si>
  <si>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</si>
  <si>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</si>
  <si>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</si>
  <si>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</si>
  <si>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</si>
  <si>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</si>
  <si>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</si>
  <si>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</si>
  <si>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</si>
  <si>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</si>
  <si>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</si>
  <si>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</si>
  <si>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</si>
  <si>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</si>
  <si>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</si>
  <si>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</si>
  <si>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</si>
  <si>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</si>
  <si>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</si>
  <si>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</si>
  <si>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</si>
  <si>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</si>
  <si>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</si>
  <si>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</si>
  <si>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</si>
  <si>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</si>
  <si>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</si>
  <si>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</si>
  <si>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</si>
  <si>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</si>
  <si>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</si>
  <si>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</si>
  <si>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</si>
  <si>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</si>
  <si>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</si>
  <si>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比较法</t>
    <phoneticPr fontId="144" type="noConversion"/>
  </si>
  <si>
    <t>单价</t>
    <phoneticPr fontId="144" type="noConversion"/>
  </si>
  <si>
    <t>收益法</t>
    <phoneticPr fontId="144" type="noConversion"/>
  </si>
  <si>
    <t>未出租办公</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</si>
  <si>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</si>
  <si>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</si>
  <si>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</si>
  <si>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</si>
  <si>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</si>
  <si>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</si>
  <si>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</si>
  <si>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</si>
  <si>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</si>
  <si>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</si>
  <si>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</si>
  <si>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</si>
  <si>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</si>
  <si>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</si>
  <si>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</si>
  <si>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</si>
  <si>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</si>
  <si>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</si>
  <si>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</si>
  <si>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</si>
  <si>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</si>
  <si>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</si>
  <si>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</si>
  <si>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</si>
  <si>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</si>
  <si>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</si>
  <si>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</si>
  <si>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</si>
  <si>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住宅底商</t>
    <phoneticPr fontId="32" type="noConversion"/>
  </si>
  <si>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</si>
  <si>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</si>
  <si>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</si>
  <si>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</si>
  <si>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</si>
  <si>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</si>
  <si>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</si>
  <si>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</si>
  <si>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</si>
  <si>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</si>
  <si>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</si>
  <si>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</si>
  <si>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</si>
  <si>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</si>
  <si>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</si>
  <si>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</si>
  <si>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</si>
  <si>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</si>
  <si>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</si>
  <si>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</si>
  <si>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</si>
  <si>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</si>
  <si>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</si>
  <si>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</si>
  <si>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</si>
  <si>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</si>
  <si>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</si>
  <si>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</si>
  <si>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</si>
  <si>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</si>
  <si>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</si>
  <si>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</si>
  <si>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写字楼配套商业</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</si>
  <si>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</si>
  <si>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</si>
  <si>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</si>
  <si>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</si>
  <si>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</si>
  <si>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</si>
  <si>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</si>
  <si>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</si>
  <si>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</si>
  <si>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</si>
  <si>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phoneticPr fontId="17" type="noConversion"/>
  </si>
  <si>
    <t>汇总</t>
    <phoneticPr fontId="144" type="noConversion"/>
  </si>
  <si>
    <t>办公</t>
    <phoneticPr fontId="144" type="noConversion"/>
  </si>
  <si>
    <t>总价</t>
    <phoneticPr fontId="144" type="noConversion"/>
  </si>
  <si>
    <t>商业</t>
    <phoneticPr fontId="144" type="noConversion"/>
  </si>
  <si>
    <t>合计</t>
    <phoneticPr fontId="144" type="noConversion"/>
  </si>
  <si>
    <t>2层</t>
  </si>
  <si>
    <t>地下1层</t>
  </si>
  <si>
    <t>地下2层</t>
  </si>
  <si>
    <t>商业</t>
    <phoneticPr fontId="8" type="noConversion"/>
  </si>
  <si>
    <t>地下车库</t>
    <phoneticPr fontId="8" type="noConversion"/>
  </si>
  <si>
    <t>收益法-车库</t>
  </si>
  <si>
    <t>收益法-车库</t>
    <phoneticPr fontId="17" type="noConversion"/>
  </si>
  <si>
    <t>自定义</t>
  </si>
  <si>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</si>
  <si>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</si>
  <si>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</si>
  <si>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</si>
  <si>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</si>
  <si>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</si>
  <si>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</si>
  <si>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</si>
  <si>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</si>
  <si>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</si>
  <si>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</si>
  <si>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</si>
  <si>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</si>
  <si>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</si>
  <si>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</si>
  <si>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</si>
  <si>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</si>
  <si>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</si>
  <si>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</si>
  <si>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</si>
  <si>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</si>
  <si>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</si>
  <si>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工程进度</t>
  </si>
  <si>
    <t>批发零售用地</t>
  </si>
  <si>
    <t>住宅底商</t>
    <phoneticPr fontId="32" type="noConversion"/>
  </si>
  <si>
    <t>写字楼配套商业</t>
    <phoneticPr fontId="32" type="noConversion"/>
  </si>
  <si>
    <t>成本比率</t>
  </si>
  <si>
    <t>仅含出让金</t>
  </si>
  <si>
    <t>在建（套用方法）</t>
  </si>
  <si>
    <t>楼层修正</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</si>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</sst>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176" fontId="256" fillId="0" borderId="0" applyFont="0" applyFill="0" applyBorder="0" applyAlignment="0" applyProtection="0">
      <alignment vertical="center"/>
    </xf>
    <xf numFmtId="0" fontId="4" fillId="0" borderId="0">
      <alignment vertical="center"/>
    </xf>
  </cellStyleXfs>
  <cellXfs count="34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176" fontId="85" fillId="0" borderId="1" xfId="13" applyFont="1" applyBorder="1" applyAlignment="1">
      <alignment horizontal="center" vertical="center"/>
    </xf>
    <xf numFmtId="176" fontId="20" fillId="0" borderId="1" xfId="13" applyFont="1" applyBorder="1" applyAlignment="1">
      <alignment horizontal="center" vertical="center"/>
    </xf>
    <xf numFmtId="43"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4" fillId="0" borderId="1" xfId="14" applyBorder="1">
      <alignment vertical="center"/>
    </xf>
    <xf numFmtId="0" fontId="258" fillId="17" borderId="1" xfId="14" applyNumberFormat="1" applyFont="1" applyFill="1" applyBorder="1" applyAlignment="1" applyProtection="1">
      <alignment horizontal="right" vertical="center"/>
      <protection locked="0"/>
    </xf>
    <xf numFmtId="180" fontId="258" fillId="17" borderId="1" xfId="14" applyNumberFormat="1" applyFont="1" applyFill="1" applyBorder="1" applyAlignment="1" applyProtection="1">
      <alignment horizontal="right" vertical="center"/>
      <protection locked="0"/>
    </xf>
    <xf numFmtId="0" fontId="4" fillId="0" borderId="1" xfId="14" applyFill="1" applyBorder="1" applyAlignment="1">
      <alignment horizontal="center" vertical="center"/>
    </xf>
    <xf numFmtId="14" fontId="4" fillId="0" borderId="1" xfId="14" applyNumberFormat="1" applyBorder="1">
      <alignment vertical="center"/>
    </xf>
    <xf numFmtId="0" fontId="114" fillId="0" borderId="1" xfId="0" applyFont="1" applyFill="1" applyBorder="1">
      <alignment vertical="center"/>
    </xf>
    <xf numFmtId="2" fontId="258" fillId="17" borderId="1" xfId="14" applyNumberFormat="1" applyFont="1" applyFill="1" applyBorder="1" applyAlignment="1" applyProtection="1">
      <alignment horizontal="righ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176"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176" fontId="114" fillId="0" borderId="1" xfId="13" applyFont="1" applyBorder="1" applyAlignment="1">
      <alignment horizontal="right" vertical="center"/>
    </xf>
    <xf numFmtId="43"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176"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176"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176"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NumberFormat="1">
      <alignment vertical="center"/>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177" fontId="48" fillId="18" borderId="24" xfId="1" applyNumberFormat="1" applyFont="1" applyFill="1" applyBorder="1" applyAlignment="1" applyProtection="1">
      <alignment horizontal="center" vertical="center"/>
      <protection locked="0"/>
    </xf>
    <xf numFmtId="0" fontId="48" fillId="18" borderId="24" xfId="0" applyFont="1" applyFill="1" applyBorder="1" applyAlignment="1" applyProtection="1">
      <alignment horizontal="center" vertical="center"/>
      <protection locked="0"/>
    </xf>
    <xf numFmtId="178" fontId="51" fillId="18" borderId="1" xfId="1" applyNumberFormat="1" applyFont="1" applyFill="1" applyBorder="1" applyAlignment="1" applyProtection="1">
      <alignment horizontal="center" vertical="center"/>
      <protection locked="0"/>
    </xf>
    <xf numFmtId="9" fontId="51" fillId="18" borderId="5" xfId="0" applyNumberFormat="1" applyFont="1" applyFill="1" applyBorder="1" applyAlignment="1" applyProtection="1">
      <alignment horizontal="center" vertical="center"/>
      <protection locked="0"/>
    </xf>
    <xf numFmtId="0" fontId="57" fillId="18" borderId="1" xfId="0" applyNumberFormat="1" applyFont="1" applyFill="1" applyBorder="1" applyAlignment="1" applyProtection="1">
      <alignment vertical="center" wrapText="1"/>
      <protection locked="0"/>
    </xf>
    <xf numFmtId="9" fontId="48" fillId="18" borderId="3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horizontal="center" vertical="center" wrapText="1"/>
      <protection locked="0"/>
    </xf>
    <xf numFmtId="178" fontId="57" fillId="18" borderId="1" xfId="1" applyNumberFormat="1" applyFont="1" applyFill="1" applyBorder="1" applyAlignment="1" applyProtection="1">
      <alignment horizont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0" xfId="0" applyFont="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58" fillId="17" borderId="13" xfId="14" applyNumberFormat="1" applyFont="1" applyFill="1" applyBorder="1" applyAlignment="1" applyProtection="1">
      <alignment horizontal="center" vertical="center"/>
      <protection locked="0"/>
    </xf>
    <xf numFmtId="0" fontId="258" fillId="17" borderId="2" xfId="14" applyNumberFormat="1" applyFont="1" applyFill="1" applyBorder="1" applyAlignment="1" applyProtection="1">
      <alignment horizontal="center" vertical="center"/>
      <protection locked="0"/>
    </xf>
    <xf numFmtId="198" fontId="258" fillId="17" borderId="13" xfId="14" applyNumberFormat="1" applyFont="1" applyFill="1" applyBorder="1" applyAlignment="1" applyProtection="1">
      <alignment horizontal="center" vertical="center"/>
      <protection locked="0"/>
    </xf>
    <xf numFmtId="198" fontId="258" fillId="17" borderId="2" xfId="14" applyNumberFormat="1"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48;&#25104;&#29616;&#25151;-2&#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Y6">
            <v>0.87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北京市出让国有建设用地使用权及在建建筑物房地产抵押价值预评估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受贵公司委托，我公司对北京市出让国有建设用地使用权及在建建筑物房地产抵押价值进行了预评估。</v>
      </c>
    </row>
    <row r="7" spans="1:2" s="1598" customFormat="1">
      <c r="A7" s="1596" t="s">
        <v>1265</v>
      </c>
      <c r="B7" s="1597" t="str">
        <f>'预评函-1'!A7</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141148</v>
      </c>
    </row>
    <row r="21" spans="1:2" s="1598" customFormat="1">
      <c r="A21" s="1596" t="s">
        <v>1236</v>
      </c>
      <c r="B21" s="1597">
        <f ca="1">'预评函-2'!D7</f>
        <v>34233</v>
      </c>
    </row>
    <row r="22" spans="1:2" s="1598" customFormat="1">
      <c r="A22" s="1596" t="s">
        <v>1237</v>
      </c>
      <c r="B22" s="1597" t="str">
        <f ca="1">'预评函-2'!D6</f>
        <v>壹拾肆亿壹仟壹佰肆拾捌万元整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141148</v>
      </c>
    </row>
    <row r="31" spans="1:2" s="1598" customFormat="1">
      <c r="A31" s="1596" t="s">
        <v>1275</v>
      </c>
      <c r="B31" s="1597">
        <f ca="1">'预评函-2'!D15</f>
        <v>34233</v>
      </c>
    </row>
    <row r="32" spans="1:2" s="1598" customFormat="1">
      <c r="A32" s="1596" t="s">
        <v>1242</v>
      </c>
      <c r="B32" s="1597" t="str">
        <f ca="1">'预评函-2'!D14</f>
        <v>壹拾肆亿壹仟壹佰肆拾捌万元整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北京市出让国有建设用地使用权及在建建筑物房地产</v>
      </c>
    </row>
    <row r="42" spans="1:2" s="1598" customFormat="1">
      <c r="A42" s="1596" t="s">
        <v>1289</v>
      </c>
      <c r="B42" s="1597" t="str">
        <f>'预评函-3'!B2</f>
        <v>建筑面积</v>
      </c>
    </row>
    <row r="43" spans="1:2" s="1598" customFormat="1">
      <c r="A43" s="1596" t="s">
        <v>1290</v>
      </c>
      <c r="B43" s="1597">
        <f>'预评函-3'!B4</f>
        <v>41231.079999999994</v>
      </c>
    </row>
    <row r="44" spans="1:2" s="1598" customFormat="1">
      <c r="A44" s="1596" t="s">
        <v>1274</v>
      </c>
      <c r="B44" s="1597" t="str">
        <f>'预评函-3'!C2</f>
        <v>(分摊)土地面积</v>
      </c>
    </row>
    <row r="45" spans="1:2" s="1598" customFormat="1">
      <c r="A45" s="1596" t="s">
        <v>1246</v>
      </c>
      <c r="B45" s="1597">
        <f>'预评函-3'!C4</f>
        <v>6064.26</v>
      </c>
    </row>
    <row r="46" spans="1:2" s="1598" customFormat="1">
      <c r="A46" s="1596" t="s">
        <v>1272</v>
      </c>
      <c r="B46" s="1597" t="str">
        <f>'预评函-3'!D2</f>
        <v>出让国有建设用地使用权价值</v>
      </c>
    </row>
    <row r="47" spans="1:2" s="1598" customFormat="1">
      <c r="A47" s="1596" t="s">
        <v>1247</v>
      </c>
      <c r="B47" s="1597">
        <f ca="1">'预评函-3'!D4</f>
        <v>119835</v>
      </c>
    </row>
    <row r="48" spans="1:2" s="1598" customFormat="1">
      <c r="A48" s="1596" t="s">
        <v>1248</v>
      </c>
      <c r="B48" s="1597">
        <f ca="1">'预评函-3'!E4</f>
        <v>29064</v>
      </c>
    </row>
    <row r="49" spans="1:2" s="1598" customFormat="1">
      <c r="A49" s="1596" t="s">
        <v>1249</v>
      </c>
      <c r="B49" s="1597" t="str">
        <f ca="1">'预评函-3'!D5</f>
        <v>壹拾壹亿玖仟捌佰叁拾伍万元整</v>
      </c>
    </row>
    <row r="50" spans="1:2" s="1598" customFormat="1">
      <c r="A50" s="1596" t="s">
        <v>1273</v>
      </c>
      <c r="B50" s="1597" t="str">
        <f>'预评函-3'!F2</f>
        <v>在建建筑物价值</v>
      </c>
    </row>
    <row r="51" spans="1:2" s="1598" customFormat="1">
      <c r="A51" s="1596" t="s">
        <v>1250</v>
      </c>
      <c r="B51" s="1597">
        <f ca="1">'预评函-3'!F4</f>
        <v>21313</v>
      </c>
    </row>
    <row r="52" spans="1:2" s="1598" customFormat="1">
      <c r="A52" s="1596" t="s">
        <v>1251</v>
      </c>
      <c r="B52" s="1597">
        <f ca="1">'预评函-3'!G4</f>
        <v>5169</v>
      </c>
    </row>
    <row r="53" spans="1:2" s="1598" customFormat="1">
      <c r="A53" s="1596" t="s">
        <v>1279</v>
      </c>
      <c r="B53" s="1597" t="str">
        <f ca="1">'预评函-3'!F5</f>
        <v>贰亿壹仟叁佰壹拾叁万元整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3464</v>
      </c>
      <c r="C19" s="2020"/>
    </row>
    <row r="20" spans="1:3">
      <c r="A20" s="2019" t="s">
        <v>1771</v>
      </c>
      <c r="B20" s="2019" t="s">
        <v>3465</v>
      </c>
      <c r="C20" s="2020"/>
    </row>
    <row r="21" spans="1:3">
      <c r="A21" s="2019" t="s">
        <v>1772</v>
      </c>
      <c r="B21" s="2019" t="s">
        <v>3466</v>
      </c>
      <c r="C21" s="2020"/>
    </row>
    <row r="22" spans="1:3">
      <c r="A22" s="2019" t="s">
        <v>1773</v>
      </c>
      <c r="B22" s="2019" t="s">
        <v>3467</v>
      </c>
      <c r="C22" s="2020"/>
    </row>
    <row r="23" spans="1:3">
      <c r="A23" s="2019" t="s">
        <v>1774</v>
      </c>
      <c r="B23" s="2019" t="s">
        <v>3468</v>
      </c>
      <c r="C23" s="2020"/>
    </row>
    <row r="24" spans="1:3">
      <c r="A24" s="2019" t="s">
        <v>1775</v>
      </c>
      <c r="B24" s="2019" t="s">
        <v>3469</v>
      </c>
      <c r="C24" s="2020"/>
    </row>
    <row r="25" spans="1:3">
      <c r="A25" s="2019" t="s">
        <v>1776</v>
      </c>
      <c r="B25" s="2019" t="s">
        <v>3566</v>
      </c>
      <c r="C25" s="2020"/>
    </row>
    <row r="26" spans="1:3">
      <c r="A26" s="2019" t="s">
        <v>1777</v>
      </c>
      <c r="B26" s="2019" t="s">
        <v>3571</v>
      </c>
      <c r="C26" s="2020"/>
    </row>
    <row r="27" spans="1:3">
      <c r="A27" s="2019" t="s">
        <v>757</v>
      </c>
      <c r="B27" s="2019" t="s">
        <v>3583</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出让国有建设用地使用权及在建建筑物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3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2027" t="s">
        <v>864</v>
      </c>
      <c r="C54" s="2024" t="s">
        <v>1282</v>
      </c>
    </row>
    <row r="55" spans="1:4">
      <c r="A55" s="3139"/>
      <c r="B55" s="2027" t="s">
        <v>865</v>
      </c>
      <c r="C55" s="2024" t="s">
        <v>1283</v>
      </c>
    </row>
    <row r="56" spans="1:4">
      <c r="A56" s="3139"/>
      <c r="B56" s="2027" t="s">
        <v>866</v>
      </c>
      <c r="C56" s="2024" t="s">
        <v>1287</v>
      </c>
    </row>
    <row r="57" spans="1:4">
      <c r="A57" s="313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38" sqref="H38"/>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1" customWidth="1"/>
    <col min="10" max="10" width="10" style="2037" customWidth="1"/>
    <col min="11" max="11" width="10" style="2162" customWidth="1"/>
    <col min="12" max="13" width="10" style="2163" customWidth="1"/>
    <col min="14" max="14" width="10" style="2037" customWidth="1"/>
    <col min="15" max="15" width="10" style="2161" customWidth="1"/>
    <col min="16" max="17" width="10" style="2037"/>
    <col min="18" max="18" width="10" style="2037" customWidth="1"/>
    <col min="19" max="16384" width="10" style="2037"/>
  </cols>
  <sheetData>
    <row r="1" spans="1:19" ht="38.25" customHeight="1" thickBot="1">
      <c r="A1" s="2030" t="s">
        <v>1778</v>
      </c>
      <c r="B1" s="31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41"/>
      <c r="D1" s="3141"/>
      <c r="E1" s="3141"/>
      <c r="F1" s="3141"/>
      <c r="G1" s="3141"/>
      <c r="H1" s="3141"/>
      <c r="I1" s="3142"/>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4" t="s">
        <v>3122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5" t="s">
        <v>3129</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5" t="s">
        <v>3121</v>
      </c>
      <c r="C7" s="2053"/>
      <c r="D7" s="2054"/>
      <c r="E7" s="2039"/>
      <c r="F7" s="2047"/>
      <c r="G7" s="2047"/>
      <c r="H7" s="2047"/>
      <c r="I7" s="2047"/>
      <c r="J7" s="2047"/>
      <c r="K7" s="2056"/>
      <c r="L7" s="2033"/>
      <c r="M7" s="2033"/>
      <c r="N7" s="2034"/>
      <c r="O7" s="2035"/>
      <c r="P7" s="2034"/>
      <c r="Q7" s="2034"/>
      <c r="R7" s="2034"/>
    </row>
    <row r="8" spans="1:19" ht="18" customHeight="1">
      <c r="A8" s="2052" t="s">
        <v>1786</v>
      </c>
      <c r="B8" s="2057" t="s">
        <v>3123</v>
      </c>
      <c r="C8" s="2058"/>
      <c r="D8" s="3143" t="s">
        <v>1787</v>
      </c>
      <c r="E8" s="2059" t="s">
        <v>3124</v>
      </c>
      <c r="F8" s="2060"/>
      <c r="G8" s="2031"/>
      <c r="H8" s="2031"/>
      <c r="I8" s="2031"/>
      <c r="J8" s="2047"/>
      <c r="K8" s="2048"/>
      <c r="L8" s="2033"/>
      <c r="M8" s="2033"/>
      <c r="N8" s="2034"/>
      <c r="O8" s="2035"/>
      <c r="P8" s="2034"/>
      <c r="Q8" s="2034"/>
      <c r="R8" s="2034"/>
    </row>
    <row r="9" spans="1:19" ht="18" customHeight="1" thickBot="1">
      <c r="A9" s="2045" t="s">
        <v>1788</v>
      </c>
      <c r="B9" s="2061" t="s">
        <v>3124</v>
      </c>
      <c r="C9" s="2062"/>
      <c r="D9" s="3144"/>
      <c r="E9" s="2061" t="s">
        <v>70</v>
      </c>
      <c r="F9" s="2063"/>
      <c r="G9" s="2064"/>
      <c r="H9" s="2064"/>
      <c r="I9" s="2064"/>
      <c r="J9" s="2047"/>
      <c r="K9" s="2056"/>
      <c r="L9" s="2033"/>
      <c r="M9" s="2033"/>
      <c r="N9" s="2034"/>
      <c r="O9" s="2035"/>
      <c r="P9" s="2034"/>
      <c r="Q9" s="2034"/>
      <c r="R9" s="2034"/>
    </row>
    <row r="10" spans="1:19" ht="18" customHeight="1" thickTop="1">
      <c r="A10" s="2065" t="s">
        <v>1789</v>
      </c>
      <c r="B10" s="2066" t="s">
        <v>3125</v>
      </c>
      <c r="C10" s="2067"/>
      <c r="D10" s="2051"/>
      <c r="E10" s="2068" t="s">
        <v>1790</v>
      </c>
      <c r="F10" s="2069"/>
      <c r="G10" s="2070"/>
      <c r="H10" s="2071"/>
      <c r="I10" s="2051"/>
      <c r="J10" s="2047"/>
      <c r="K10" s="2056"/>
      <c r="L10" s="2033"/>
      <c r="M10" s="2033"/>
      <c r="N10" s="2034"/>
      <c r="O10" s="2035"/>
      <c r="P10" s="2034"/>
      <c r="Q10" s="2034"/>
      <c r="R10" s="2034"/>
    </row>
    <row r="11" spans="1:19" ht="18" customHeight="1">
      <c r="A11" s="2072" t="s">
        <v>1791</v>
      </c>
      <c r="B11" s="2073"/>
      <c r="C11" s="2074"/>
      <c r="D11" s="2075"/>
      <c r="E11" s="2047"/>
      <c r="F11" s="2047"/>
      <c r="G11" s="2047"/>
      <c r="H11" s="2047"/>
      <c r="I11" s="2047"/>
      <c r="J11" s="2047"/>
      <c r="K11" s="2056"/>
      <c r="L11" s="2033"/>
      <c r="M11" s="2033"/>
      <c r="N11" s="2034"/>
      <c r="O11" s="2035"/>
      <c r="P11" s="2034"/>
      <c r="Q11" s="2034"/>
      <c r="R11" s="2034"/>
    </row>
    <row r="12" spans="1:19" ht="18" customHeight="1">
      <c r="A12" s="2076" t="s">
        <v>1792</v>
      </c>
      <c r="B12" s="2073" t="s">
        <v>3042</v>
      </c>
      <c r="C12" s="2077" t="s">
        <v>1793</v>
      </c>
      <c r="D12" s="2078" t="s">
        <v>1794</v>
      </c>
      <c r="E12" s="2078" t="s">
        <v>1795</v>
      </c>
      <c r="F12" s="2078" t="s">
        <v>1796</v>
      </c>
      <c r="G12" s="2078" t="s">
        <v>1797</v>
      </c>
      <c r="H12" s="2078" t="s">
        <v>1798</v>
      </c>
      <c r="I12" s="2078" t="s">
        <v>1799</v>
      </c>
      <c r="J12" s="2047"/>
      <c r="K12" s="2056"/>
      <c r="L12" s="2033"/>
      <c r="M12" s="2033"/>
      <c r="N12" s="2034"/>
      <c r="O12" s="2035"/>
      <c r="P12" s="2034"/>
      <c r="Q12" s="2034"/>
      <c r="R12" s="2034"/>
    </row>
    <row r="13" spans="1:19" ht="18" customHeight="1">
      <c r="A13" s="2079"/>
      <c r="B13" s="2080"/>
      <c r="C13" s="2081" t="s">
        <v>1800</v>
      </c>
      <c r="D13" s="2082"/>
      <c r="E13" s="2082">
        <v>52550</v>
      </c>
      <c r="F13" s="2082">
        <v>56203</v>
      </c>
      <c r="G13" s="2082">
        <v>56203</v>
      </c>
      <c r="H13" s="2082"/>
      <c r="I13" s="1051"/>
      <c r="J13" s="2047"/>
      <c r="K13" s="2056"/>
      <c r="L13" s="2033"/>
      <c r="M13" s="2033"/>
      <c r="N13" s="2034"/>
      <c r="O13" s="2035"/>
      <c r="P13" s="2034"/>
      <c r="Q13" s="2034"/>
      <c r="R13" s="2034"/>
    </row>
    <row r="14" spans="1:19" ht="18" customHeight="1">
      <c r="A14" s="2079"/>
      <c r="B14" s="2080"/>
      <c r="C14" s="2081" t="s">
        <v>1801</v>
      </c>
      <c r="D14" s="1054"/>
      <c r="E14" s="1054">
        <v>40</v>
      </c>
      <c r="F14" s="1054">
        <v>50</v>
      </c>
      <c r="G14" s="1054">
        <v>50</v>
      </c>
      <c r="H14" s="1054"/>
      <c r="I14" s="1054"/>
      <c r="J14" s="2047"/>
      <c r="K14" s="2083"/>
      <c r="L14" s="2033"/>
      <c r="M14" s="2033"/>
      <c r="N14" s="2034"/>
      <c r="O14" s="2035"/>
      <c r="P14" s="2034"/>
      <c r="Q14" s="2034"/>
      <c r="R14" s="2034"/>
    </row>
    <row r="15" spans="1:19" ht="18" customHeight="1">
      <c r="A15" s="2065"/>
      <c r="B15" s="2084"/>
      <c r="C15" s="2081"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8" t="s">
        <v>1803</v>
      </c>
      <c r="B16" s="3150"/>
      <c r="C16" s="3151"/>
      <c r="D16" s="3152"/>
      <c r="E16" s="2088" t="s">
        <v>1804</v>
      </c>
      <c r="F16" s="3153"/>
      <c r="G16" s="3154"/>
      <c r="H16" s="3154"/>
      <c r="I16" s="3155"/>
      <c r="J16" s="2034"/>
      <c r="K16" s="2085"/>
      <c r="L16" s="2086"/>
      <c r="M16" s="2086"/>
      <c r="N16" s="2087"/>
      <c r="O16" s="2086"/>
      <c r="P16" s="2087"/>
      <c r="Q16" s="2034"/>
      <c r="R16" s="2034"/>
    </row>
    <row r="17" spans="1:22" ht="18" customHeight="1">
      <c r="A17" s="2089" t="s">
        <v>1805</v>
      </c>
      <c r="B17" s="2040" t="s">
        <v>1806</v>
      </c>
      <c r="C17" s="1058">
        <f>'数据-汇总表'!E3</f>
        <v>41231.079999999994</v>
      </c>
      <c r="D17" s="2090" t="s">
        <v>1807</v>
      </c>
      <c r="E17" s="3156" t="s">
        <v>1808</v>
      </c>
      <c r="F17" s="3157"/>
      <c r="G17" s="3157"/>
      <c r="H17" s="3157"/>
      <c r="I17" s="3158"/>
      <c r="J17" s="2034"/>
      <c r="K17" s="2091"/>
      <c r="L17" s="2086"/>
      <c r="M17" s="2086"/>
      <c r="N17" s="2087"/>
      <c r="O17" s="2086"/>
      <c r="P17" s="2087"/>
      <c r="Q17" s="2034"/>
      <c r="R17" s="2034"/>
      <c r="S17" s="2034"/>
      <c r="T17" s="2034"/>
      <c r="U17" s="2034"/>
      <c r="V17" s="2034"/>
    </row>
    <row r="18" spans="1:22" ht="36" customHeight="1" thickBot="1">
      <c r="A18" s="2092" t="s">
        <v>1809</v>
      </c>
      <c r="B18" s="2043" t="s">
        <v>1810</v>
      </c>
      <c r="C18" s="1448">
        <f>'数据-汇总表'!D3</f>
        <v>6064.26</v>
      </c>
      <c r="D18" s="2093" t="s">
        <v>1807</v>
      </c>
      <c r="E18" s="3159" t="s">
        <v>3126</v>
      </c>
      <c r="F18" s="3160"/>
      <c r="G18" s="3160"/>
      <c r="H18" s="3160"/>
      <c r="I18" s="3161"/>
      <c r="J18" s="2034"/>
      <c r="K18" s="2091"/>
      <c r="L18" s="2086"/>
      <c r="M18" s="2086"/>
      <c r="N18" s="2087"/>
      <c r="O18" s="2086"/>
      <c r="P18" s="2087"/>
      <c r="Q18" s="2034"/>
      <c r="R18" s="2034"/>
      <c r="S18" s="2034"/>
      <c r="T18" s="2034"/>
      <c r="U18" s="2034"/>
      <c r="V18" s="2034"/>
    </row>
    <row r="19" spans="1:22" ht="37.5" customHeight="1" thickTop="1" thickBot="1">
      <c r="A19" s="374" t="s">
        <v>1811</v>
      </c>
      <c r="B19" s="353" t="s">
        <v>1812</v>
      </c>
      <c r="C19" s="2094" t="s">
        <v>3043</v>
      </c>
      <c r="D19" s="2095" t="s">
        <v>1813</v>
      </c>
      <c r="E19" s="2096" t="s">
        <v>3043</v>
      </c>
      <c r="F19" s="2097" t="str">
        <f>IF(AND(C19="是",E19="否"),"是否提供他项权证或相关说明","")</f>
        <v/>
      </c>
      <c r="G19" s="2098"/>
      <c r="H19" s="2047"/>
      <c r="I19" s="2047"/>
      <c r="J19" s="2047"/>
      <c r="K19" s="2056"/>
      <c r="L19" s="2033"/>
      <c r="M19" s="2033"/>
      <c r="N19" s="2087"/>
      <c r="O19" s="2086"/>
      <c r="P19" s="2087"/>
      <c r="Q19" s="2034"/>
      <c r="R19" s="2034"/>
      <c r="S19" s="2034"/>
      <c r="T19" s="2034"/>
      <c r="U19" s="2034"/>
      <c r="V19" s="2034"/>
    </row>
    <row r="20" spans="1:22" ht="18" customHeight="1">
      <c r="A20" s="2099" t="s">
        <v>1814</v>
      </c>
      <c r="B20" s="3146" t="s">
        <v>1815</v>
      </c>
      <c r="C20" s="3147"/>
      <c r="D20" s="3148" t="s">
        <v>1816</v>
      </c>
      <c r="E20" s="3149"/>
      <c r="F20" s="2100" t="s">
        <v>1817</v>
      </c>
      <c r="G20" s="2047"/>
      <c r="H20" s="2047"/>
      <c r="I20" s="2047"/>
      <c r="J20" s="2047"/>
      <c r="K20" s="3145" t="s">
        <v>1818</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7"/>
      <c r="O20" s="2086"/>
      <c r="P20" s="2087"/>
      <c r="Q20" s="2034"/>
      <c r="R20" s="2034"/>
      <c r="S20" s="2034"/>
      <c r="T20" s="2034"/>
      <c r="U20" s="2034"/>
      <c r="V20" s="2034"/>
    </row>
    <row r="21" spans="1:22" ht="24.75" customHeight="1">
      <c r="A21" s="2099"/>
      <c r="B21" s="2101" t="s">
        <v>1819</v>
      </c>
      <c r="C21" s="2102" t="s">
        <v>3128</v>
      </c>
      <c r="D21" s="2103"/>
      <c r="E21" s="2104" t="s">
        <v>70</v>
      </c>
      <c r="F21" s="2105"/>
      <c r="G21" s="2047"/>
      <c r="H21" s="2047"/>
      <c r="I21" s="2047"/>
      <c r="J21" s="2047"/>
      <c r="K21" s="314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7"/>
      <c r="O21" s="2086"/>
      <c r="P21" s="2087"/>
      <c r="Q21" s="2034"/>
      <c r="R21" s="2034"/>
      <c r="S21" s="2034"/>
      <c r="T21" s="2034"/>
      <c r="U21" s="2034"/>
      <c r="V21" s="2034"/>
    </row>
    <row r="22" spans="1:22" ht="24.75" customHeight="1" thickBot="1">
      <c r="A22" s="2099"/>
      <c r="B22" s="2106" t="s">
        <v>1820</v>
      </c>
      <c r="C22" s="2102" t="s">
        <v>3128</v>
      </c>
      <c r="D22" s="2031"/>
      <c r="E22" s="2031"/>
      <c r="F22" s="2107"/>
      <c r="G22" s="2047"/>
      <c r="H22" s="2047"/>
      <c r="I22" s="2047"/>
      <c r="J22" s="2047"/>
      <c r="K22" s="314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1821</v>
      </c>
      <c r="B23" s="184" t="s">
        <v>1822</v>
      </c>
      <c r="C23" s="2109">
        <v>42574</v>
      </c>
      <c r="D23" s="2110" t="s">
        <v>1822</v>
      </c>
      <c r="E23" s="2111"/>
      <c r="F23" s="2107"/>
      <c r="G23" s="2047"/>
      <c r="H23" s="2047"/>
      <c r="I23" s="2047"/>
      <c r="J23" s="2047"/>
      <c r="K23" s="2112"/>
      <c r="L23" s="749"/>
      <c r="M23" s="2033"/>
      <c r="N23" s="2087"/>
      <c r="O23" s="2086"/>
      <c r="P23" s="2087"/>
      <c r="Q23" s="2034"/>
      <c r="R23" s="2034"/>
      <c r="S23" s="2034"/>
      <c r="T23" s="2034"/>
      <c r="U23" s="2034"/>
      <c r="V23" s="2034"/>
    </row>
    <row r="24" spans="1:22" ht="36">
      <c r="A24" s="2113"/>
      <c r="B24" s="184" t="s">
        <v>1823</v>
      </c>
      <c r="C24" s="2986" t="s">
        <v>3129</v>
      </c>
      <c r="D24" s="2108" t="s">
        <v>1823</v>
      </c>
      <c r="E24" s="2114"/>
      <c r="F24" s="2107"/>
      <c r="G24" s="2047"/>
      <c r="H24" s="2047"/>
      <c r="I24" s="2047"/>
      <c r="J24" s="2047"/>
      <c r="K24" s="2112"/>
      <c r="L24" s="749"/>
      <c r="M24" s="2033"/>
      <c r="N24" s="2087"/>
      <c r="O24" s="2086"/>
      <c r="P24" s="2087"/>
      <c r="Q24" s="2034"/>
      <c r="R24" s="2034"/>
      <c r="S24" s="2034"/>
      <c r="T24" s="2034"/>
      <c r="U24" s="2034"/>
      <c r="V24" s="2034"/>
    </row>
    <row r="25" spans="1:22" ht="24">
      <c r="A25" s="2113"/>
      <c r="B25" s="184" t="s">
        <v>1824</v>
      </c>
      <c r="C25" s="2986" t="s">
        <v>3130</v>
      </c>
      <c r="D25" s="2108" t="s">
        <v>1824</v>
      </c>
      <c r="E25" s="2114"/>
      <c r="F25" s="2107"/>
      <c r="G25" s="2047"/>
      <c r="H25" s="2047"/>
      <c r="I25" s="2047"/>
      <c r="J25" s="2047"/>
      <c r="K25" s="2056"/>
      <c r="L25" s="2033"/>
      <c r="M25" s="2033"/>
      <c r="N25" s="2087"/>
      <c r="O25" s="2086"/>
      <c r="P25" s="2087"/>
      <c r="Q25" s="2034"/>
      <c r="R25" s="2034"/>
      <c r="S25" s="2034"/>
      <c r="T25" s="2034"/>
      <c r="U25" s="2034"/>
      <c r="V25" s="2034"/>
    </row>
    <row r="26" spans="1:22" ht="18" customHeight="1" thickBot="1">
      <c r="A26" s="2115"/>
      <c r="B26" s="2116" t="s">
        <v>1825</v>
      </c>
      <c r="C26" s="2117" t="s">
        <v>3131</v>
      </c>
      <c r="D26" s="2118" t="s">
        <v>1826</v>
      </c>
      <c r="E26" s="2119"/>
      <c r="F26" s="2120"/>
      <c r="G26" s="2064"/>
      <c r="H26" s="2064"/>
      <c r="I26" s="2064"/>
      <c r="J26" s="2047"/>
      <c r="K26" s="2056"/>
      <c r="L26" s="2033"/>
      <c r="M26" s="2033"/>
      <c r="N26" s="2087"/>
      <c r="O26" s="2086"/>
      <c r="P26" s="2087"/>
      <c r="Q26" s="2034"/>
      <c r="R26" s="2034"/>
      <c r="S26" s="2034"/>
      <c r="T26" s="2034"/>
      <c r="U26" s="2034"/>
      <c r="V26" s="2034"/>
    </row>
    <row r="27" spans="1:22" ht="18" customHeight="1" thickTop="1">
      <c r="A27" s="3163" t="s">
        <v>1827</v>
      </c>
      <c r="B27" s="2065" t="s">
        <v>1828</v>
      </c>
      <c r="C27" s="2121" t="s">
        <v>3132</v>
      </c>
      <c r="D27" s="2122"/>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163"/>
      <c r="B28" s="2040" t="s">
        <v>1829</v>
      </c>
      <c r="C28" s="2123" t="s">
        <v>3133</v>
      </c>
      <c r="D28" s="2124"/>
      <c r="E28" s="2047"/>
      <c r="F28" s="2047"/>
      <c r="G28" s="2047"/>
      <c r="H28" s="2047"/>
      <c r="I28" s="2047"/>
      <c r="J28" s="2034"/>
      <c r="K28" s="2125"/>
      <c r="L28" s="2033"/>
      <c r="M28" s="2033"/>
      <c r="N28" s="2034"/>
      <c r="O28" s="2035"/>
      <c r="P28" s="2034"/>
      <c r="Q28" s="2034"/>
      <c r="R28" s="2034"/>
      <c r="S28" s="2034"/>
      <c r="T28" s="2034"/>
      <c r="U28" s="2034"/>
      <c r="V28" s="2034"/>
    </row>
    <row r="29" spans="1:22" ht="18" customHeight="1">
      <c r="A29" s="3163"/>
      <c r="B29" s="2040" t="s">
        <v>1830</v>
      </c>
      <c r="C29" s="2126" t="s">
        <v>3127</v>
      </c>
      <c r="D29" s="2127"/>
      <c r="E29" s="2047"/>
      <c r="F29" s="2047"/>
      <c r="G29" s="2047"/>
      <c r="H29" s="2047"/>
      <c r="I29" s="2047"/>
      <c r="J29" s="2034"/>
      <c r="K29" s="2125"/>
      <c r="L29" s="2033"/>
      <c r="M29" s="2033"/>
      <c r="N29" s="2034"/>
      <c r="O29" s="2035"/>
      <c r="P29" s="2034"/>
      <c r="Q29" s="2034"/>
      <c r="R29" s="2034"/>
      <c r="S29" s="2034"/>
      <c r="T29" s="2034"/>
      <c r="U29" s="2034"/>
      <c r="V29" s="2034"/>
    </row>
    <row r="30" spans="1:22" ht="18" customHeight="1">
      <c r="A30" s="3164"/>
      <c r="B30" s="2040" t="s">
        <v>1831</v>
      </c>
      <c r="C30" s="3165"/>
      <c r="D30" s="3166"/>
      <c r="E30" s="2047"/>
      <c r="F30" s="2047"/>
      <c r="G30" s="2047"/>
      <c r="H30" s="2047"/>
      <c r="I30" s="2047"/>
      <c r="J30" s="2034"/>
      <c r="K30" s="2125"/>
      <c r="L30" s="2033"/>
      <c r="M30" s="2033"/>
      <c r="N30" s="2034"/>
      <c r="O30" s="2035"/>
      <c r="P30" s="2034"/>
      <c r="Q30" s="2034"/>
      <c r="R30" s="2034"/>
      <c r="S30" s="2034"/>
      <c r="T30" s="2034"/>
      <c r="U30" s="2034"/>
      <c r="V30" s="2034"/>
    </row>
    <row r="31" spans="1:22" ht="18" customHeight="1">
      <c r="A31" s="3167" t="s">
        <v>1832</v>
      </c>
      <c r="B31" s="2128" t="s">
        <v>3134</v>
      </c>
      <c r="C31" s="2129" t="str">
        <f>IF(B31="现房","成新及维护状况正常否",IF(B31="在建","工程状态是否正常",IF(B31="土地","是否闲置","-")))</f>
        <v>成新及维护状况正常否</v>
      </c>
      <c r="D31" s="2130"/>
      <c r="E31" s="2987" t="s">
        <v>3135</v>
      </c>
      <c r="F31" s="2047"/>
      <c r="G31" s="2047"/>
      <c r="H31" s="2047"/>
      <c r="I31" s="2047"/>
      <c r="J31" s="2047"/>
      <c r="K31" s="2055"/>
      <c r="L31" s="2033"/>
      <c r="M31" s="2033"/>
      <c r="N31" s="2034"/>
      <c r="O31" s="2035"/>
      <c r="P31" s="2034"/>
      <c r="Q31" s="2034"/>
      <c r="R31" s="2034"/>
      <c r="S31" s="2034"/>
      <c r="T31" s="2034"/>
      <c r="U31" s="2034"/>
      <c r="V31" s="2034"/>
    </row>
    <row r="32" spans="1:22" ht="18" customHeight="1">
      <c r="A32" s="3168"/>
      <c r="B32" s="2128"/>
      <c r="C32" s="2129" t="str">
        <f>IF(B32="现房","成新及维护状况是否正常",IF(B32="在建","工程状态是否正常",IF(B32="土地","是否闲置","-")))</f>
        <v>-</v>
      </c>
      <c r="D32" s="2130"/>
      <c r="E32" s="2131"/>
      <c r="F32" s="2047"/>
      <c r="G32" s="2047"/>
      <c r="H32" s="2047"/>
      <c r="I32" s="2047"/>
      <c r="J32" s="2047"/>
      <c r="K32" s="2056"/>
      <c r="L32" s="2033"/>
      <c r="M32" s="2033"/>
      <c r="N32" s="2034"/>
      <c r="O32" s="2035"/>
      <c r="P32" s="2034"/>
      <c r="Q32" s="2034"/>
      <c r="R32" s="2034"/>
      <c r="S32" s="2034"/>
      <c r="T32" s="2034"/>
      <c r="U32" s="2034"/>
      <c r="V32" s="2034"/>
    </row>
    <row r="33" spans="1:22" ht="18" customHeight="1">
      <c r="A33" s="3168"/>
      <c r="B33" s="2132"/>
      <c r="C33" s="2072" t="str">
        <f>IF(B33="现房","成新及维护状况是否正常",IF(B33="在建","工程状态是否正常",IF(B33="土地","是否闲置","-")))</f>
        <v>-</v>
      </c>
      <c r="D33" s="2133"/>
      <c r="E33" s="2134"/>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1833</v>
      </c>
      <c r="B34" s="2135" t="s">
        <v>3136</v>
      </c>
      <c r="C34" s="2135" t="s">
        <v>3137</v>
      </c>
      <c r="D34" s="2135" t="s">
        <v>3138</v>
      </c>
      <c r="E34" s="2135" t="s">
        <v>3139</v>
      </c>
      <c r="F34" s="2135" t="s">
        <v>3140</v>
      </c>
      <c r="G34" s="2135"/>
      <c r="H34" s="2135"/>
      <c r="I34" s="2047"/>
      <c r="J34" s="2047"/>
      <c r="K34" s="1800">
        <f>COUNTIF(B34:H34,"——")</f>
        <v>0</v>
      </c>
      <c r="L34" s="2077" t="s">
        <v>1834</v>
      </c>
      <c r="M34" s="2077" t="s">
        <v>1835</v>
      </c>
      <c r="N34" s="2077" t="s">
        <v>1836</v>
      </c>
      <c r="O34" s="2077" t="s">
        <v>1837</v>
      </c>
      <c r="P34" s="2077" t="s">
        <v>1838</v>
      </c>
      <c r="Q34" s="2077" t="s">
        <v>1839</v>
      </c>
      <c r="R34" s="2077" t="s">
        <v>1840</v>
      </c>
      <c r="S34" s="3162" t="s">
        <v>1841</v>
      </c>
      <c r="T34" s="2136" t="str">
        <f>NUMBERSTRING(7-K34,1)&amp;"通"</f>
        <v>七通</v>
      </c>
      <c r="U34" s="2034"/>
      <c r="V34" s="2034"/>
    </row>
    <row r="35" spans="1:22" ht="18" customHeight="1">
      <c r="A35" s="2137"/>
      <c r="B35" s="3169" t="s">
        <v>1842</v>
      </c>
      <c r="C35" s="3169"/>
      <c r="D35" s="3169"/>
      <c r="E35" s="3169"/>
      <c r="F35" s="2138">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62"/>
      <c r="T35" s="48" t="str">
        <f>IF(T34="一通",L35,IF(T34="二通",M35,IF(T34="三通",N35,IF(T34="四通",O35,IF(T34="五通",P35,IF(T34="六通",Q35,R35))))))</f>
        <v>通路、通电、通讯、通上水、通下水、、</v>
      </c>
      <c r="U35" s="2034"/>
      <c r="V35" s="2034"/>
    </row>
    <row r="36" spans="1:22" ht="18" customHeight="1">
      <c r="A36" s="2139"/>
      <c r="B36" s="2138" t="s">
        <v>1843</v>
      </c>
      <c r="C36" s="2138" t="s">
        <v>1844</v>
      </c>
      <c r="D36" s="2138" t="s">
        <v>1845</v>
      </c>
      <c r="E36" s="2138" t="s">
        <v>1846</v>
      </c>
      <c r="F36" s="2140"/>
      <c r="G36" s="2047"/>
      <c r="H36" s="2047"/>
      <c r="I36" s="2047"/>
      <c r="J36" s="2047"/>
      <c r="K36" s="2056"/>
      <c r="L36" s="2033"/>
      <c r="M36" s="2033"/>
      <c r="N36" s="2034"/>
      <c r="O36" s="2035"/>
      <c r="P36" s="2034"/>
      <c r="Q36" s="2034"/>
      <c r="R36" s="2034"/>
      <c r="S36" s="2034"/>
      <c r="T36" s="2034"/>
      <c r="U36" s="2034"/>
      <c r="V36" s="2034"/>
    </row>
    <row r="37" spans="1:22" ht="18" customHeight="1">
      <c r="A37" s="2141" t="s">
        <v>1847</v>
      </c>
      <c r="B37" s="2142" t="s">
        <v>442</v>
      </c>
      <c r="C37" s="2142" t="s">
        <v>442</v>
      </c>
      <c r="D37" s="2142"/>
      <c r="E37" s="2142"/>
      <c r="F37" s="2140"/>
      <c r="G37" s="2047"/>
      <c r="H37" s="2047"/>
      <c r="I37" s="2047"/>
      <c r="J37" s="2047"/>
      <c r="K37" s="2056"/>
      <c r="L37" s="2033"/>
      <c r="M37" s="2033"/>
      <c r="N37" s="2034"/>
      <c r="O37" s="2035"/>
      <c r="P37" s="2034"/>
      <c r="Q37" s="2034"/>
      <c r="R37" s="2034"/>
      <c r="S37" s="2034"/>
      <c r="T37" s="2034"/>
      <c r="U37" s="2034"/>
      <c r="V37" s="2034"/>
    </row>
    <row r="38" spans="1:22" ht="18" customHeight="1" thickBot="1">
      <c r="A38" s="2143" t="s">
        <v>1848</v>
      </c>
      <c r="B38" s="2144" t="s">
        <v>334</v>
      </c>
      <c r="C38" s="2144" t="s">
        <v>312</v>
      </c>
      <c r="D38" s="2144"/>
      <c r="E38" s="2144"/>
      <c r="F38" s="2145"/>
      <c r="G38" s="2064"/>
      <c r="H38" s="2064"/>
      <c r="I38" s="2064"/>
      <c r="J38" s="2047"/>
      <c r="K38" s="2056"/>
      <c r="L38" s="2033"/>
      <c r="M38" s="2033"/>
      <c r="N38" s="2034"/>
      <c r="O38" s="2035"/>
      <c r="P38" s="2034"/>
      <c r="Q38" s="2034"/>
      <c r="R38" s="2034"/>
      <c r="S38" s="2034"/>
      <c r="T38" s="2034"/>
      <c r="U38" s="2034"/>
      <c r="V38" s="2034"/>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4"/>
      <c r="B40" s="2034"/>
      <c r="C40" s="2034"/>
      <c r="D40" s="2034"/>
      <c r="E40" s="2034"/>
      <c r="F40" s="2034"/>
      <c r="G40" s="2034"/>
      <c r="H40" s="2034"/>
      <c r="I40" s="2151"/>
      <c r="J40" s="2087"/>
      <c r="K40" s="667"/>
      <c r="L40" s="2086"/>
      <c r="M40" s="2086"/>
      <c r="N40" s="2087"/>
      <c r="O40" s="2086"/>
      <c r="P40" s="2034"/>
      <c r="Q40" s="2034"/>
      <c r="R40" s="2034"/>
      <c r="S40" s="2034"/>
      <c r="T40" s="2034"/>
      <c r="U40" s="2034"/>
      <c r="V40" s="2034"/>
    </row>
    <row r="41" spans="1:22" ht="18" customHeight="1">
      <c r="A41" s="8" t="s">
        <v>1850</v>
      </c>
      <c r="B41" s="2152"/>
      <c r="C41" s="2153"/>
      <c r="D41" s="2034"/>
      <c r="E41" s="2034"/>
      <c r="F41" s="2034"/>
      <c r="G41" s="2034"/>
      <c r="H41" s="2034"/>
      <c r="I41" s="2035"/>
      <c r="J41" s="2034"/>
      <c r="K41" s="2125"/>
      <c r="L41" s="2033"/>
      <c r="M41" s="2033"/>
      <c r="N41" s="2034"/>
      <c r="O41" s="2035"/>
      <c r="P41" s="2034"/>
      <c r="Q41" s="2034"/>
      <c r="R41" s="2034"/>
      <c r="S41" s="2034"/>
      <c r="T41" s="2034"/>
      <c r="U41" s="2034"/>
      <c r="V41" s="2034"/>
    </row>
    <row r="42" spans="1:22" ht="18" customHeight="1">
      <c r="A42" s="2077" t="s">
        <v>1851</v>
      </c>
      <c r="B42" s="1800" t="s">
        <v>1852</v>
      </c>
      <c r="C42" s="1800" t="s">
        <v>1853</v>
      </c>
      <c r="D42" s="1800" t="s">
        <v>1854</v>
      </c>
      <c r="E42" s="1800" t="s">
        <v>1855</v>
      </c>
      <c r="F42" s="1800" t="s">
        <v>1856</v>
      </c>
      <c r="G42" s="1800" t="s">
        <v>1857</v>
      </c>
      <c r="H42" s="1800" t="s">
        <v>1858</v>
      </c>
      <c r="I42" s="1800" t="s">
        <v>1859</v>
      </c>
      <c r="J42" s="2154" t="s">
        <v>1860</v>
      </c>
      <c r="K42" s="2078" t="s">
        <v>1861</v>
      </c>
      <c r="L42" s="2078" t="s">
        <v>1862</v>
      </c>
      <c r="M42" s="2078" t="s">
        <v>1863</v>
      </c>
      <c r="N42" s="1800" t="s">
        <v>1864</v>
      </c>
      <c r="O42" s="1800" t="s">
        <v>1865</v>
      </c>
      <c r="P42" s="1800" t="s">
        <v>1866</v>
      </c>
      <c r="Q42" s="2077" t="s">
        <v>1867</v>
      </c>
      <c r="R42" s="2077" t="s">
        <v>1868</v>
      </c>
      <c r="S42" s="2034"/>
      <c r="T42" s="2034"/>
      <c r="U42" s="2034"/>
      <c r="V42" s="2034"/>
    </row>
    <row r="43" spans="1:22" s="2159" customFormat="1" ht="18" customHeight="1">
      <c r="A43" s="2155"/>
      <c r="B43" s="1276"/>
      <c r="C43" s="1276"/>
      <c r="D43" s="1276"/>
      <c r="E43" s="1276"/>
      <c r="F43" s="1276"/>
      <c r="G43" s="1276"/>
      <c r="H43" s="9"/>
      <c r="I43" s="9"/>
      <c r="J43" s="2156"/>
      <c r="K43" s="2157"/>
      <c r="L43" s="2157"/>
      <c r="M43" s="9"/>
      <c r="N43" s="1276"/>
      <c r="O43" s="9"/>
      <c r="P43" s="1276"/>
      <c r="Q43" s="1276"/>
      <c r="R43" s="1276"/>
      <c r="S43" s="2158"/>
      <c r="T43" s="2158"/>
      <c r="U43" s="2158"/>
      <c r="V43" s="2158"/>
    </row>
    <row r="44" spans="1:22" s="2159" customFormat="1" ht="18" customHeight="1">
      <c r="A44" s="2155"/>
      <c r="B44" s="2155"/>
      <c r="C44" s="1276"/>
      <c r="D44" s="1276"/>
      <c r="E44" s="1276"/>
      <c r="F44" s="1276"/>
      <c r="G44" s="1276"/>
      <c r="H44" s="9"/>
      <c r="I44" s="9"/>
      <c r="J44" s="2156"/>
      <c r="K44" s="2157"/>
      <c r="L44" s="2157"/>
      <c r="M44" s="9"/>
      <c r="N44" s="1276"/>
      <c r="O44" s="9"/>
      <c r="P44" s="1276"/>
      <c r="Q44" s="1276"/>
      <c r="R44" s="1276"/>
      <c r="S44" s="2158"/>
      <c r="T44" s="2158"/>
      <c r="U44" s="2158"/>
      <c r="V44" s="2158"/>
    </row>
    <row r="45" spans="1:22" s="2159" customFormat="1" ht="18" customHeight="1">
      <c r="A45" s="2155"/>
      <c r="B45" s="2155"/>
      <c r="C45" s="1276"/>
      <c r="D45" s="1276"/>
      <c r="E45" s="1276"/>
      <c r="F45" s="1276"/>
      <c r="G45" s="1276"/>
      <c r="H45" s="9"/>
      <c r="I45" s="9"/>
      <c r="J45" s="2156"/>
      <c r="K45" s="2157"/>
      <c r="L45" s="2157"/>
      <c r="M45" s="9"/>
      <c r="N45" s="1276"/>
      <c r="O45" s="9"/>
      <c r="P45" s="1276"/>
      <c r="Q45" s="1276"/>
      <c r="R45" s="1276"/>
      <c r="S45" s="2158"/>
      <c r="T45" s="2158"/>
      <c r="U45" s="2158"/>
      <c r="V45" s="2158"/>
    </row>
    <row r="46" spans="1:22" s="2159" customFormat="1" ht="18" customHeight="1">
      <c r="A46" s="2155"/>
      <c r="B46" s="2155"/>
      <c r="C46" s="1276"/>
      <c r="D46" s="1276"/>
      <c r="E46" s="1276"/>
      <c r="F46" s="1276"/>
      <c r="G46" s="1276"/>
      <c r="H46" s="9"/>
      <c r="I46" s="9"/>
      <c r="J46" s="2156"/>
      <c r="K46" s="2157"/>
      <c r="L46" s="2157"/>
      <c r="M46" s="9"/>
      <c r="N46" s="1276"/>
      <c r="O46" s="9"/>
      <c r="P46" s="1276"/>
      <c r="Q46" s="1276"/>
      <c r="R46" s="1276"/>
      <c r="S46" s="2158"/>
      <c r="T46" s="2158"/>
      <c r="U46" s="2158"/>
      <c r="V46" s="2158"/>
    </row>
    <row r="47" spans="1:22" s="2159" customFormat="1" ht="18" customHeight="1">
      <c r="A47" s="2155"/>
      <c r="B47" s="2155"/>
      <c r="C47" s="1276"/>
      <c r="D47" s="1276"/>
      <c r="E47" s="1276"/>
      <c r="F47" s="1276"/>
      <c r="G47" s="1276"/>
      <c r="H47" s="9"/>
      <c r="I47" s="9"/>
      <c r="J47" s="2156"/>
      <c r="K47" s="2157"/>
      <c r="L47" s="2157"/>
      <c r="M47" s="9"/>
      <c r="N47" s="1276"/>
      <c r="O47" s="9"/>
      <c r="P47" s="1276"/>
      <c r="Q47" s="1276"/>
      <c r="R47" s="1276"/>
      <c r="S47" s="2158"/>
      <c r="T47" s="2158"/>
      <c r="U47" s="2158"/>
      <c r="V47" s="2158"/>
    </row>
    <row r="48" spans="1:22" s="2159" customFormat="1" ht="18" customHeight="1">
      <c r="A48" s="2155"/>
      <c r="B48" s="2155"/>
      <c r="C48" s="1276"/>
      <c r="D48" s="1276"/>
      <c r="E48" s="1276"/>
      <c r="F48" s="1276"/>
      <c r="G48" s="1276"/>
      <c r="H48" s="9"/>
      <c r="I48" s="9"/>
      <c r="J48" s="2156"/>
      <c r="K48" s="2157"/>
      <c r="L48" s="2157"/>
      <c r="M48" s="9"/>
      <c r="N48" s="1276"/>
      <c r="O48" s="9"/>
      <c r="P48" s="1276"/>
      <c r="Q48" s="1276"/>
      <c r="R48" s="1276"/>
      <c r="S48" s="2158"/>
      <c r="T48" s="2158"/>
      <c r="U48" s="2158"/>
      <c r="V48" s="2158"/>
    </row>
    <row r="49" spans="1:22" s="2159" customFormat="1" ht="18" customHeight="1">
      <c r="A49" s="2155"/>
      <c r="B49" s="2155"/>
      <c r="C49" s="1276"/>
      <c r="D49" s="1276"/>
      <c r="E49" s="1276"/>
      <c r="F49" s="1276"/>
      <c r="G49" s="1276"/>
      <c r="H49" s="9"/>
      <c r="I49" s="9"/>
      <c r="J49" s="2156"/>
      <c r="K49" s="2157"/>
      <c r="L49" s="2157"/>
      <c r="M49" s="9"/>
      <c r="N49" s="1276"/>
      <c r="O49" s="9"/>
      <c r="P49" s="1276"/>
      <c r="Q49" s="1276"/>
      <c r="R49" s="1276"/>
      <c r="S49" s="2158"/>
      <c r="T49" s="2158"/>
      <c r="U49" s="2158"/>
      <c r="V49" s="2158"/>
    </row>
    <row r="50" spans="1:22" s="2159" customFormat="1" ht="18" customHeight="1">
      <c r="A50" s="2155"/>
      <c r="B50" s="2155"/>
      <c r="C50" s="1276"/>
      <c r="D50" s="1276"/>
      <c r="E50" s="1276"/>
      <c r="F50" s="1276"/>
      <c r="G50" s="1276"/>
      <c r="H50" s="9"/>
      <c r="I50" s="9"/>
      <c r="J50" s="2156"/>
      <c r="K50" s="2157"/>
      <c r="L50" s="2157"/>
      <c r="M50" s="9"/>
      <c r="N50" s="1276"/>
      <c r="O50" s="9"/>
      <c r="P50" s="1276"/>
      <c r="Q50" s="1276"/>
      <c r="R50" s="1276"/>
      <c r="S50" s="2158"/>
      <c r="T50" s="2158"/>
      <c r="U50" s="2158"/>
      <c r="V50" s="2158"/>
    </row>
    <row r="51" spans="1:22" s="2159" customFormat="1" ht="18" customHeight="1">
      <c r="A51" s="2155"/>
      <c r="B51" s="2155"/>
      <c r="C51" s="1276"/>
      <c r="D51" s="1276"/>
      <c r="E51" s="1276"/>
      <c r="F51" s="1276"/>
      <c r="G51" s="1276"/>
      <c r="H51" s="9"/>
      <c r="I51" s="9"/>
      <c r="J51" s="2156"/>
      <c r="K51" s="2157"/>
      <c r="L51" s="2157"/>
      <c r="M51" s="9"/>
      <c r="N51" s="1276"/>
      <c r="O51" s="9"/>
      <c r="P51" s="1276"/>
      <c r="Q51" s="1276"/>
      <c r="R51" s="1276"/>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5"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3" t="s">
        <v>1874</v>
      </c>
      <c r="AZ2" s="1274"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15837.48</v>
      </c>
      <c r="B3" s="14">
        <f>IF(C3="否",G5-AT5,G5)</f>
        <v>107679.41</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5"/>
      <c r="AZ3" s="1276"/>
      <c r="BA3" s="1277"/>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41231.079999999994</v>
      </c>
      <c r="BA5" s="18">
        <f t="shared" si="1"/>
        <v>37240.229999999996</v>
      </c>
      <c r="BB5" s="18">
        <f t="shared" si="1"/>
        <v>16057.43</v>
      </c>
      <c r="BC5" s="18">
        <f t="shared" si="1"/>
        <v>0</v>
      </c>
      <c r="BD5" s="18">
        <f t="shared" si="1"/>
        <v>6958.0599999999995</v>
      </c>
      <c r="BE5" s="18">
        <f t="shared" si="1"/>
        <v>14224.74</v>
      </c>
      <c r="BF5" s="18">
        <f t="shared" si="1"/>
        <v>0</v>
      </c>
      <c r="BG5" s="18">
        <f t="shared" si="1"/>
        <v>0</v>
      </c>
      <c r="BH5" s="18">
        <f t="shared" si="1"/>
        <v>0</v>
      </c>
      <c r="BI5" s="18">
        <f t="shared" si="1"/>
        <v>0</v>
      </c>
      <c r="BJ5" s="18">
        <f t="shared" si="1"/>
        <v>0</v>
      </c>
      <c r="BK5" s="18">
        <f t="shared" si="1"/>
        <v>0</v>
      </c>
      <c r="BL5" s="18">
        <f t="shared" si="1"/>
        <v>3990.85</v>
      </c>
      <c r="BM5" s="18">
        <f t="shared" si="1"/>
        <v>0</v>
      </c>
      <c r="BN5" s="18">
        <f t="shared" si="1"/>
        <v>0</v>
      </c>
      <c r="BO5" s="18">
        <f t="shared" si="1"/>
        <v>0</v>
      </c>
      <c r="BP5" s="18">
        <f t="shared" si="1"/>
        <v>0</v>
      </c>
      <c r="BQ5" s="18">
        <f t="shared" si="1"/>
        <v>652</v>
      </c>
      <c r="BR5" s="18">
        <f t="shared" si="1"/>
        <v>3338.85</v>
      </c>
      <c r="BS5" s="18">
        <f t="shared" si="1"/>
        <v>0</v>
      </c>
      <c r="BT5" s="19">
        <f t="shared" si="1"/>
        <v>0</v>
      </c>
    </row>
    <row r="6" spans="1:72" s="2179" customFormat="1" ht="12.75">
      <c r="A6" s="15" t="s">
        <v>1879</v>
      </c>
      <c r="B6" s="2176"/>
      <c r="C6" s="2176"/>
      <c r="D6" s="2177"/>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6064.26</v>
      </c>
      <c r="AZ6" s="16" t="s">
        <v>3</v>
      </c>
      <c r="BA6" s="16">
        <f>ROUND($AY$6*BA5/$AZ$5,2)</f>
        <v>5477.29</v>
      </c>
      <c r="BB6" s="16">
        <f>ROUND($AY$6*BB5/$AZ$5,2)</f>
        <v>2361.7199999999998</v>
      </c>
      <c r="BC6" s="16">
        <f t="shared" ref="BC6:BH6" si="4">ROUND($AY$6*BC5/$AZ$5,2)</f>
        <v>0</v>
      </c>
      <c r="BD6" s="16">
        <f t="shared" si="4"/>
        <v>1023.39</v>
      </c>
      <c r="BE6" s="16">
        <f t="shared" si="4"/>
        <v>2092.17</v>
      </c>
      <c r="BF6" s="16">
        <f t="shared" si="4"/>
        <v>0</v>
      </c>
      <c r="BG6" s="16">
        <f t="shared" si="4"/>
        <v>0</v>
      </c>
      <c r="BH6" s="16">
        <f t="shared" si="4"/>
        <v>0</v>
      </c>
      <c r="BI6" s="16">
        <f t="shared" ref="BI6:BT6" si="5">ROUND($AY$6*BI5/$AZ$5,2)</f>
        <v>0</v>
      </c>
      <c r="BJ6" s="16">
        <f t="shared" si="5"/>
        <v>0</v>
      </c>
      <c r="BK6" s="16">
        <f t="shared" si="5"/>
        <v>0</v>
      </c>
      <c r="BL6" s="16">
        <f t="shared" si="5"/>
        <v>586.97</v>
      </c>
      <c r="BM6" s="16">
        <f t="shared" si="5"/>
        <v>0</v>
      </c>
      <c r="BN6" s="16">
        <f t="shared" si="5"/>
        <v>0</v>
      </c>
      <c r="BO6" s="16">
        <f t="shared" si="5"/>
        <v>0</v>
      </c>
      <c r="BP6" s="16">
        <f t="shared" si="5"/>
        <v>0</v>
      </c>
      <c r="BQ6" s="16">
        <f t="shared" si="5"/>
        <v>95.9</v>
      </c>
      <c r="BR6" s="16">
        <f t="shared" si="5"/>
        <v>491.08</v>
      </c>
      <c r="BS6" s="16">
        <f t="shared" si="5"/>
        <v>0</v>
      </c>
      <c r="BT6" s="22">
        <f t="shared" si="5"/>
        <v>0</v>
      </c>
    </row>
    <row r="7" spans="1:72" s="2169"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1"/>
      <c r="AU7" s="2181" t="s">
        <v>1887</v>
      </c>
      <c r="AV7" s="23" t="s">
        <v>1888</v>
      </c>
      <c r="AW7" s="2168" t="s">
        <v>1889</v>
      </c>
      <c r="AX7" s="23" t="s">
        <v>1882</v>
      </c>
      <c r="AY7" s="1808"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3"/>
      <c r="K8" s="1823"/>
      <c r="L8" s="1823"/>
      <c r="M8" s="1823"/>
      <c r="N8" s="1823"/>
      <c r="O8" s="1823"/>
      <c r="P8" s="1823"/>
      <c r="Q8" s="1823"/>
      <c r="R8" s="1823"/>
      <c r="S8" s="1823"/>
      <c r="T8" s="1823"/>
      <c r="U8" s="1823"/>
      <c r="V8" s="2188"/>
      <c r="W8" s="1823"/>
      <c r="X8" s="1823"/>
      <c r="Y8" s="1823"/>
      <c r="Z8" s="1823"/>
      <c r="AA8" s="2188"/>
      <c r="AB8" s="2189"/>
      <c r="AC8" s="985" t="s">
        <v>1893</v>
      </c>
      <c r="AD8" s="2190"/>
      <c r="AE8" s="2182"/>
      <c r="AF8" s="1823"/>
      <c r="AG8" s="1823"/>
      <c r="AH8" s="1823"/>
      <c r="AI8" s="1823"/>
      <c r="AJ8" s="1823"/>
      <c r="AK8" s="1823"/>
      <c r="AL8" s="1823"/>
      <c r="AM8" s="1823"/>
      <c r="AN8" s="1823"/>
      <c r="AO8" s="1823"/>
      <c r="AP8" s="1823"/>
      <c r="AQ8" s="1823"/>
      <c r="AR8" s="1823"/>
      <c r="AS8" s="1823"/>
      <c r="AT8" s="1296" t="s">
        <v>1894</v>
      </c>
      <c r="AU8" s="2184" t="s">
        <v>1895</v>
      </c>
      <c r="AV8" s="1296"/>
      <c r="AW8" s="2167"/>
      <c r="AX8" s="1296"/>
      <c r="AY8" s="2168"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1" customFormat="1" ht="12.75">
      <c r="A9" s="2184"/>
      <c r="B9" s="2184"/>
      <c r="C9" s="2184"/>
      <c r="D9" s="2184"/>
      <c r="E9" s="2184"/>
      <c r="F9" s="2184"/>
      <c r="G9" s="1296"/>
      <c r="H9" s="2192" t="s">
        <v>1898</v>
      </c>
      <c r="I9" s="2193" t="s">
        <v>3044</v>
      </c>
      <c r="J9" s="985"/>
      <c r="K9" s="2193" t="s">
        <v>3044</v>
      </c>
      <c r="L9" s="985"/>
      <c r="M9" s="2193" t="s">
        <v>3047</v>
      </c>
      <c r="N9" s="985"/>
      <c r="O9" s="2193" t="s">
        <v>3047</v>
      </c>
      <c r="P9" s="985"/>
      <c r="Q9" s="2193"/>
      <c r="R9" s="985"/>
      <c r="S9" s="2193"/>
      <c r="T9" s="985"/>
      <c r="U9" s="2193"/>
      <c r="V9" s="985"/>
      <c r="W9" s="2193"/>
      <c r="X9" s="2194"/>
      <c r="Y9" s="2193"/>
      <c r="Z9" s="985"/>
      <c r="AA9" s="2193"/>
      <c r="AB9" s="985"/>
      <c r="AC9" s="2185"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5"/>
      <c r="AT9" s="2184"/>
      <c r="AU9" s="2184" t="s">
        <v>1901</v>
      </c>
      <c r="AV9" s="1296"/>
      <c r="AW9" s="2167"/>
      <c r="AX9" s="1296"/>
      <c r="AY9" s="28"/>
      <c r="AZ9" s="28" t="s">
        <v>1891</v>
      </c>
      <c r="BA9" s="2196" t="s">
        <v>1902</v>
      </c>
      <c r="BB9" s="2197"/>
      <c r="BC9" s="1342"/>
      <c r="BD9" s="1342"/>
      <c r="BE9" s="1342"/>
      <c r="BF9" s="1342"/>
      <c r="BG9" s="1342"/>
      <c r="BH9" s="1342"/>
      <c r="BI9" s="1342"/>
      <c r="BJ9" s="1342"/>
      <c r="BK9" s="2198"/>
      <c r="BL9" s="15" t="s">
        <v>1903</v>
      </c>
      <c r="BM9" s="1823"/>
      <c r="BN9" s="2187"/>
      <c r="BO9" s="1823"/>
      <c r="BP9" s="1823"/>
      <c r="BQ9" s="1823"/>
      <c r="BR9" s="1823"/>
      <c r="BS9" s="1823"/>
      <c r="BT9" s="26"/>
    </row>
    <row r="10" spans="1:72" s="2191" customFormat="1" ht="12.75">
      <c r="A10" s="2184"/>
      <c r="B10" s="2184"/>
      <c r="C10" s="2184"/>
      <c r="D10" s="2184"/>
      <c r="E10" s="2184"/>
      <c r="F10" s="2184"/>
      <c r="G10" s="1296"/>
      <c r="H10" s="28"/>
      <c r="I10" s="2193" t="s">
        <v>1378</v>
      </c>
      <c r="J10" s="985"/>
      <c r="K10" s="2199" t="s">
        <v>27</v>
      </c>
      <c r="L10" s="985"/>
      <c r="M10" s="2199" t="s">
        <v>3049</v>
      </c>
      <c r="N10" s="985"/>
      <c r="O10" s="2199" t="s">
        <v>1378</v>
      </c>
      <c r="P10" s="985"/>
      <c r="Q10" s="2199"/>
      <c r="R10" s="985"/>
      <c r="S10" s="2199"/>
      <c r="T10" s="985"/>
      <c r="U10" s="2199"/>
      <c r="V10" s="985"/>
      <c r="W10" s="2199"/>
      <c r="X10" s="985"/>
      <c r="Y10" s="2199"/>
      <c r="Z10" s="985"/>
      <c r="AA10" s="2199"/>
      <c r="AB10" s="985"/>
      <c r="AC10" s="1296"/>
      <c r="AD10" s="15" t="s">
        <v>1904</v>
      </c>
      <c r="AE10" s="2200"/>
      <c r="AF10" s="15" t="s">
        <v>1904</v>
      </c>
      <c r="AG10" s="2200"/>
      <c r="AH10" s="15" t="s">
        <v>1905</v>
      </c>
      <c r="AI10" s="2200"/>
      <c r="AJ10" s="15" t="s">
        <v>1905</v>
      </c>
      <c r="AK10" s="2200"/>
      <c r="AL10" s="15" t="s">
        <v>1906</v>
      </c>
      <c r="AM10" s="1302"/>
      <c r="AN10" s="15" t="s">
        <v>1906</v>
      </c>
      <c r="AO10" s="1302"/>
      <c r="AP10" s="15" t="s">
        <v>1907</v>
      </c>
      <c r="AQ10" s="1302"/>
      <c r="AR10" s="15" t="s">
        <v>1907</v>
      </c>
      <c r="AS10" s="1302"/>
      <c r="AT10" s="2184"/>
      <c r="AU10" s="2184"/>
      <c r="AV10" s="1296"/>
      <c r="AW10" s="2167"/>
      <c r="AX10" s="1296"/>
      <c r="AY10" s="28"/>
      <c r="AZ10" s="28"/>
      <c r="BA10" s="2201" t="s">
        <v>1898</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3" t="str">
        <f>AR9</f>
        <v>地下</v>
      </c>
    </row>
    <row r="11" spans="1:72" s="2191" customFormat="1" ht="12.75">
      <c r="A11" s="2184"/>
      <c r="B11" s="2184"/>
      <c r="C11" s="2184"/>
      <c r="D11" s="2184"/>
      <c r="E11" s="2184"/>
      <c r="F11" s="2184"/>
      <c r="G11" s="1296"/>
      <c r="H11" s="2201"/>
      <c r="I11" s="2204" t="s">
        <v>3045</v>
      </c>
      <c r="J11" s="2205"/>
      <c r="K11" s="2204" t="s">
        <v>3046</v>
      </c>
      <c r="L11" s="2205"/>
      <c r="M11" s="2204" t="s">
        <v>3048</v>
      </c>
      <c r="N11" s="2205"/>
      <c r="O11" s="2204" t="s">
        <v>3045</v>
      </c>
      <c r="P11" s="2205"/>
      <c r="Q11" s="2204"/>
      <c r="R11" s="2205"/>
      <c r="S11" s="2204"/>
      <c r="T11" s="2205"/>
      <c r="U11" s="2204"/>
      <c r="V11" s="2205"/>
      <c r="W11" s="2204"/>
      <c r="X11" s="2205"/>
      <c r="Y11" s="2204"/>
      <c r="Z11" s="2205"/>
      <c r="AA11" s="2204"/>
      <c r="AB11" s="2205"/>
      <c r="AC11" s="1296"/>
      <c r="AD11" s="2206" t="s">
        <v>1908</v>
      </c>
      <c r="AE11" s="1824"/>
      <c r="AF11" s="2206" t="s">
        <v>1908</v>
      </c>
      <c r="AG11" s="1824"/>
      <c r="AH11" s="2206" t="s">
        <v>1909</v>
      </c>
      <c r="AI11" s="2207"/>
      <c r="AJ11" s="2206" t="s">
        <v>1909</v>
      </c>
      <c r="AK11" s="1824"/>
      <c r="AL11" s="1822"/>
      <c r="AM11" s="1824"/>
      <c r="AN11" s="1822"/>
      <c r="AO11" s="1824"/>
      <c r="AP11" s="1822"/>
      <c r="AQ11" s="1824"/>
      <c r="AR11" s="1822"/>
      <c r="AS11" s="1824"/>
      <c r="AT11" s="2167"/>
      <c r="AU11" s="2184"/>
      <c r="AV11" s="1296"/>
      <c r="AW11" s="2167"/>
      <c r="AX11" s="1296"/>
      <c r="AY11" s="28"/>
      <c r="AZ11" s="28"/>
      <c r="BA11" s="28"/>
      <c r="BB11" s="2189" t="str">
        <f>I10</f>
        <v>商业</v>
      </c>
      <c r="BC11" s="2189" t="str">
        <f>K10</f>
        <v>办公</v>
      </c>
      <c r="BD11" s="2189" t="str">
        <f>M10</f>
        <v>车库—商业</v>
      </c>
      <c r="BE11" s="2189" t="str">
        <f>O10</f>
        <v>商业</v>
      </c>
      <c r="BF11" s="2189">
        <f>Q10</f>
        <v>0</v>
      </c>
      <c r="BG11" s="2189">
        <f>S10</f>
        <v>0</v>
      </c>
      <c r="BH11" s="2189">
        <f>U10</f>
        <v>0</v>
      </c>
      <c r="BI11" s="2189">
        <f>W10</f>
        <v>0</v>
      </c>
      <c r="BJ11" s="2189">
        <f>Y10</f>
        <v>0</v>
      </c>
      <c r="BK11" s="2189">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1"/>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独立商业</v>
      </c>
      <c r="BC12" s="2214" t="str">
        <f>K11</f>
        <v>办公楼</v>
      </c>
      <c r="BD12" s="2214" t="str">
        <f>M11</f>
        <v>车库</v>
      </c>
      <c r="BE12" s="2189" t="str">
        <f>O11</f>
        <v>独立商业</v>
      </c>
      <c r="BF12" s="2189">
        <f>Q11</f>
        <v>0</v>
      </c>
      <c r="BG12" s="2189">
        <f>S11</f>
        <v>0</v>
      </c>
      <c r="BH12" s="2189">
        <f>U11</f>
        <v>0</v>
      </c>
      <c r="BI12" s="2189">
        <f>W11</f>
        <v>0</v>
      </c>
      <c r="BJ12" s="2189">
        <f>Y11</f>
        <v>0</v>
      </c>
      <c r="BK12" s="2189">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8">
        <f>AR11</f>
        <v>0</v>
      </c>
    </row>
    <row r="13" spans="1:72" s="2169" customFormat="1" ht="12.75">
      <c r="A13" s="1276"/>
      <c r="B13" s="1276"/>
      <c r="C13" s="1276" t="s">
        <v>3473</v>
      </c>
      <c r="D13" s="2215" t="s">
        <v>3127</v>
      </c>
      <c r="E13" s="16">
        <f>IF($C$3="是",ROUND($A$3*G13/$B$3,2),ROUND($A$3*(G13-AT13)/$B$3,2))</f>
        <v>9773.2199999999993</v>
      </c>
      <c r="F13" s="32"/>
      <c r="G13" s="33">
        <f>H13+AC13+AT13</f>
        <v>66448.330000000016</v>
      </c>
      <c r="H13" s="20">
        <f>SUMIF(I$12:AB$12,"总值",I13:AB13)</f>
        <v>66448.330000000016</v>
      </c>
      <c r="I13" s="2216">
        <f>面积!C4+面积!C45</f>
        <v>3141.59</v>
      </c>
      <c r="J13" s="2216"/>
      <c r="K13" s="2216">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20、24</v>
      </c>
      <c r="AY13" s="181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6"/>
      <c r="B14" s="1276"/>
      <c r="C14" s="2155">
        <v>20</v>
      </c>
      <c r="D14" s="2215" t="s">
        <v>3043</v>
      </c>
      <c r="E14" s="16">
        <f>IF($C$3="是",ROUND($A$3*G14/$B$3,2),ROUND($A$3*(G14-AT14)/$B$3,2))</f>
        <v>6064.26</v>
      </c>
      <c r="F14" s="32"/>
      <c r="G14" s="33">
        <f>H14+AC14+AT14</f>
        <v>41231.079999999994</v>
      </c>
      <c r="H14" s="20">
        <f>SUMIF(I$12:AB$12,"总值",I14:AB14)</f>
        <v>37240.229999999996</v>
      </c>
      <c r="I14" s="2216">
        <f>面积!C38+面积!C39+面积!C40+面积!I28</f>
        <v>16057.43</v>
      </c>
      <c r="J14" s="2216"/>
      <c r="K14" s="2216"/>
      <c r="L14" s="2216"/>
      <c r="M14" s="2216">
        <f>面积!C35+面积!C37</f>
        <v>6958.0599999999995</v>
      </c>
      <c r="N14" s="2216"/>
      <c r="O14" s="2216">
        <f>面积!C34+面积!C36+面积!I31</f>
        <v>14224.74</v>
      </c>
      <c r="P14" s="2216"/>
      <c r="Q14" s="2216"/>
      <c r="R14" s="2216"/>
      <c r="S14" s="2216"/>
      <c r="T14" s="2216"/>
      <c r="U14" s="2216"/>
      <c r="V14" s="2216"/>
      <c r="W14" s="2216"/>
      <c r="X14" s="2216"/>
      <c r="Y14" s="2216"/>
      <c r="Z14" s="2216"/>
      <c r="AA14" s="2216"/>
      <c r="AB14" s="2216"/>
      <c r="AC14" s="16">
        <f>SUMIF(AD$12:AS$12,"总值",AD14:AS14)</f>
        <v>3990.85</v>
      </c>
      <c r="AD14" s="2217"/>
      <c r="AE14" s="2217"/>
      <c r="AF14" s="2217"/>
      <c r="AG14" s="2217"/>
      <c r="AH14" s="2217"/>
      <c r="AI14" s="2217"/>
      <c r="AJ14" s="2217"/>
      <c r="AK14" s="2217"/>
      <c r="AL14" s="2217">
        <f>面积!I29+面积!I30</f>
        <v>652</v>
      </c>
      <c r="AM14" s="2217"/>
      <c r="AN14" s="2217">
        <f>面积!C32+面积!C33+面积!I32+面积!I33</f>
        <v>3338.85</v>
      </c>
      <c r="AO14" s="2217"/>
      <c r="AP14" s="2217"/>
      <c r="AQ14" s="2217"/>
      <c r="AR14" s="2217"/>
      <c r="AS14" s="2217"/>
      <c r="AT14" s="2218"/>
      <c r="AU14" s="2219"/>
      <c r="AV14" s="11">
        <f t="shared" si="6"/>
        <v>0</v>
      </c>
      <c r="AW14" s="11">
        <f t="shared" si="6"/>
        <v>0</v>
      </c>
      <c r="AX14" s="11">
        <f t="shared" si="6"/>
        <v>20</v>
      </c>
      <c r="AY14" s="1811">
        <f>ROUND($AY$6*AZ14/$AZ$5,2)</f>
        <v>6064.26</v>
      </c>
      <c r="AZ14" s="16">
        <f>BA14+BL14</f>
        <v>41231.079999999994</v>
      </c>
      <c r="BA14" s="16">
        <f>SUM(BB14:BK14)</f>
        <v>37240.229999999996</v>
      </c>
      <c r="BB14" s="16">
        <f>IF($D14="是",I14-J14,0)</f>
        <v>16057.43</v>
      </c>
      <c r="BC14" s="16">
        <f>IF($D14="是",K14-L14,0)</f>
        <v>0</v>
      </c>
      <c r="BD14" s="16">
        <f>IF($D14="是",M14-N14,0)</f>
        <v>6958.0599999999995</v>
      </c>
      <c r="BE14" s="16">
        <f>IF($D14="是",O14-P14,0)</f>
        <v>14224.74</v>
      </c>
      <c r="BF14" s="16">
        <f>IF($D14="是",Q14-R14,0)</f>
        <v>0</v>
      </c>
      <c r="BG14" s="16">
        <f>IF($D14="是",S14-T14,0)</f>
        <v>0</v>
      </c>
      <c r="BH14" s="16">
        <f>IF($D14="是",U14-V14,0)</f>
        <v>0</v>
      </c>
      <c r="BI14" s="16">
        <f>IF($D14="是",W14-X14,0)</f>
        <v>0</v>
      </c>
      <c r="BJ14" s="16">
        <f>IF($D14="是",Y14-Z14,0)</f>
        <v>0</v>
      </c>
      <c r="BK14" s="16">
        <f>IF($D14="是",AA14-AB14,0)</f>
        <v>0</v>
      </c>
      <c r="BL14" s="16">
        <f>SUM(BM14:BT14)</f>
        <v>3990.85</v>
      </c>
      <c r="BM14" s="16">
        <f>IF($D14="是",AD14-AE14,0)</f>
        <v>0</v>
      </c>
      <c r="BN14" s="16">
        <f>IF($D14="是",AF14-AG14,0)</f>
        <v>0</v>
      </c>
      <c r="BO14" s="16">
        <f>IF($D14="是",AH14-AI14,0)</f>
        <v>0</v>
      </c>
      <c r="BP14" s="16">
        <f>IF($D14="是",AJ14-AK14,0)</f>
        <v>0</v>
      </c>
      <c r="BQ14" s="16">
        <f>IF($D14="是",AL14-AM14,0)</f>
        <v>652</v>
      </c>
      <c r="BR14" s="16">
        <f>IF($D14="是",AN14-AO14,0)</f>
        <v>3338.85</v>
      </c>
      <c r="BS14" s="16">
        <f>IF($D14="是",AP14-AQ14,0)</f>
        <v>0</v>
      </c>
      <c r="BT14" s="22">
        <f>IF($D14="是",AR14-AS14,0)</f>
        <v>0</v>
      </c>
    </row>
    <row r="15" spans="1:72" s="2169" customFormat="1" ht="12.75">
      <c r="A15" s="1276"/>
      <c r="B15" s="1276"/>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6"/>
      <c r="B16" s="1276"/>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6"/>
      <c r="B17" s="1276"/>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6"/>
      <c r="C1" s="1396"/>
      <c r="D1" s="1396"/>
      <c r="E1" s="1396"/>
      <c r="F1" s="1396"/>
      <c r="G1" s="1396"/>
      <c r="H1" s="1396"/>
      <c r="I1" s="1396"/>
      <c r="J1" s="1396"/>
      <c r="K1" s="1396"/>
      <c r="L1" s="1396"/>
      <c r="M1" s="1396"/>
      <c r="N1" s="1396"/>
      <c r="O1" s="1396"/>
      <c r="P1" s="1396"/>
    </row>
    <row r="2" spans="1:16" ht="15">
      <c r="A2" s="3181" t="s">
        <v>1938</v>
      </c>
      <c r="B2" s="3181"/>
      <c r="C2" s="3181"/>
      <c r="D2" s="971" t="s">
        <v>1914</v>
      </c>
      <c r="E2" s="2229" t="s">
        <v>1915</v>
      </c>
      <c r="F2" s="1396"/>
      <c r="G2" s="2230"/>
      <c r="H2" s="2231"/>
      <c r="I2" s="2232" t="s">
        <v>1939</v>
      </c>
      <c r="J2" s="1396"/>
      <c r="K2" s="1396"/>
      <c r="L2" s="1396"/>
      <c r="M2" s="1396"/>
      <c r="N2" s="1431"/>
      <c r="O2" s="1396"/>
      <c r="P2" s="1396"/>
    </row>
    <row r="3" spans="1:16" ht="15.75" thickBot="1">
      <c r="A3" s="3182" t="s">
        <v>1912</v>
      </c>
      <c r="B3" s="3182"/>
      <c r="C3" s="3182"/>
      <c r="D3" s="46">
        <f>'数据-基础表'!AY6</f>
        <v>6064.26</v>
      </c>
      <c r="E3" s="46">
        <f>'数据-基础表'!AZ5</f>
        <v>41231.079999999994</v>
      </c>
      <c r="F3" s="1396"/>
      <c r="G3" s="1403"/>
      <c r="H3" s="1251" t="s">
        <v>1913</v>
      </c>
      <c r="I3" s="55">
        <f>ROUND('数据-基础表'!B3/'数据-基础表'!A3,2)</f>
        <v>6.8</v>
      </c>
      <c r="J3" s="1396"/>
      <c r="K3" s="1396"/>
      <c r="L3" s="1396"/>
      <c r="M3" s="1396"/>
      <c r="N3" s="1431"/>
      <c r="O3" s="1396"/>
      <c r="P3" s="1396"/>
    </row>
    <row r="4" spans="1:16" ht="15">
      <c r="A4" s="3183"/>
      <c r="B4" s="3184"/>
      <c r="C4" s="3185"/>
      <c r="D4" s="2233" t="s">
        <v>1914</v>
      </c>
      <c r="E4" s="2234" t="s">
        <v>1915</v>
      </c>
      <c r="F4" s="1396"/>
      <c r="G4" s="2235" t="s">
        <v>1940</v>
      </c>
      <c r="H4" s="1251" t="s">
        <v>1920</v>
      </c>
      <c r="I4" s="55">
        <f>ROUND(SUMIF('数据-基础表'!I9:AS9,"地上",'数据-基础表'!I5:AS5)/'数据-基础表'!A3,2)</f>
        <v>5.25</v>
      </c>
      <c r="J4" s="1396"/>
      <c r="K4" s="1396"/>
      <c r="L4" s="1396"/>
      <c r="M4" s="1396"/>
      <c r="N4" s="1431"/>
      <c r="O4" s="1396"/>
      <c r="P4" s="1396"/>
    </row>
    <row r="5" spans="1:16">
      <c r="A5" s="47" t="s">
        <v>1916</v>
      </c>
      <c r="B5" s="3186" t="s">
        <v>1917</v>
      </c>
      <c r="C5" s="3186"/>
      <c r="D5" s="48">
        <f>ROUND($D$3*E5/$E$3,2)</f>
        <v>0</v>
      </c>
      <c r="E5" s="49">
        <f>SUMIF('数据-基础表'!$11:$11,"住宅",'数据-基础表'!$5:$5)</f>
        <v>0</v>
      </c>
      <c r="F5" s="1396"/>
      <c r="G5" s="1403"/>
      <c r="H5" s="1251" t="s">
        <v>1913</v>
      </c>
      <c r="I5" s="55">
        <f>ROUND(E31/D31,2)</f>
        <v>6.8</v>
      </c>
      <c r="J5" s="1396"/>
      <c r="K5" s="1396"/>
      <c r="L5" s="1396"/>
      <c r="M5" s="1396"/>
      <c r="N5" s="1396"/>
      <c r="O5" s="1396"/>
      <c r="P5" s="1396"/>
    </row>
    <row r="6" spans="1:16" ht="15" thickBot="1">
      <c r="A6" s="2236"/>
      <c r="B6" s="3186" t="s">
        <v>1918</v>
      </c>
      <c r="C6" s="3186"/>
      <c r="D6" s="48">
        <f>ROUND($D$3*E6/$E$3,2)</f>
        <v>6064.26</v>
      </c>
      <c r="E6" s="49">
        <f>E3-E5</f>
        <v>41231.079999999994</v>
      </c>
      <c r="F6" s="1396"/>
      <c r="G6" s="2237" t="s">
        <v>1919</v>
      </c>
      <c r="H6" s="1403" t="s">
        <v>1920</v>
      </c>
      <c r="I6" s="943">
        <f>ROUND(F31/D31,2)</f>
        <v>2.76</v>
      </c>
      <c r="J6" s="1396"/>
      <c r="K6" s="1396"/>
      <c r="L6" s="1396"/>
      <c r="M6" s="1396"/>
      <c r="N6" s="1396"/>
      <c r="O6" s="1396"/>
      <c r="P6" s="1396"/>
    </row>
    <row r="7" spans="1:16" ht="15">
      <c r="A7" s="3178"/>
      <c r="B7" s="3179"/>
      <c r="C7" s="3180"/>
      <c r="D7" s="2233" t="s">
        <v>1914</v>
      </c>
      <c r="E7" s="2238" t="s">
        <v>1921</v>
      </c>
      <c r="F7" s="1396"/>
      <c r="G7" s="2230" t="s">
        <v>1922</v>
      </c>
      <c r="H7" s="64"/>
      <c r="I7" s="421"/>
      <c r="J7" s="1396"/>
      <c r="K7" s="1396"/>
      <c r="L7" s="1396"/>
      <c r="M7" s="1396"/>
      <c r="N7" s="1396"/>
      <c r="O7" s="1396"/>
      <c r="P7" s="1396"/>
    </row>
    <row r="8" spans="1:16">
      <c r="A8" s="47" t="s">
        <v>1923</v>
      </c>
      <c r="B8" s="50" t="s">
        <v>1924</v>
      </c>
      <c r="C8" s="48" t="s">
        <v>1925</v>
      </c>
      <c r="D8" s="48">
        <f t="shared" ref="D8:D15" si="0">ROUND($D$3*E8/$E$3,2)</f>
        <v>2361.7199999999998</v>
      </c>
      <c r="E8" s="51">
        <f>SUMIF('数据-基础表'!BB10:BK10,"地上",'数据-基础表'!BB5:BK5)</f>
        <v>16057.43</v>
      </c>
      <c r="F8" s="1396"/>
      <c r="G8" s="2239"/>
      <c r="H8" s="2239"/>
      <c r="I8" s="1396"/>
      <c r="J8" s="1396"/>
      <c r="K8" s="1396"/>
      <c r="L8" s="1396"/>
      <c r="M8" s="1396"/>
      <c r="N8" s="1396"/>
      <c r="O8" s="1396"/>
      <c r="P8" s="1396"/>
    </row>
    <row r="9" spans="1:16">
      <c r="A9" s="2240"/>
      <c r="B9" s="2241"/>
      <c r="C9" s="48" t="s">
        <v>1926</v>
      </c>
      <c r="D9" s="48">
        <f t="shared" si="0"/>
        <v>0</v>
      </c>
      <c r="E9" s="52">
        <v>0</v>
      </c>
      <c r="F9" s="1396"/>
      <c r="G9" s="2239"/>
      <c r="H9" s="2239"/>
      <c r="I9" s="1396"/>
      <c r="J9" s="1396"/>
      <c r="K9" s="1396"/>
      <c r="L9" s="1396"/>
      <c r="M9" s="1396"/>
      <c r="N9" s="1396"/>
      <c r="O9" s="1396"/>
      <c r="P9" s="1396"/>
    </row>
    <row r="10" spans="1:16">
      <c r="A10" s="2240"/>
      <c r="B10" s="2241"/>
      <c r="C10" s="48" t="s">
        <v>1935</v>
      </c>
      <c r="D10" s="48">
        <f t="shared" si="0"/>
        <v>2092.17</v>
      </c>
      <c r="E10" s="51">
        <f>SUMPRODUCT(('数据-基础表'!BB10:BK10="地下")*('数据-基础表'!BB11:BK11="商业")*('数据-基础表'!BB5:BK5))</f>
        <v>14224.74</v>
      </c>
      <c r="F10" s="1396"/>
      <c r="G10" s="2239"/>
      <c r="H10" s="2239"/>
      <c r="I10" s="1396"/>
      <c r="J10" s="1396"/>
      <c r="K10" s="1396"/>
      <c r="L10" s="1396"/>
      <c r="M10" s="1396"/>
      <c r="N10" s="1396"/>
      <c r="O10" s="1396"/>
      <c r="P10" s="1396"/>
    </row>
    <row r="11" spans="1:16">
      <c r="A11" s="2240"/>
      <c r="B11" s="2241"/>
      <c r="C11" s="48" t="s">
        <v>1927</v>
      </c>
      <c r="D11" s="48">
        <f t="shared" si="0"/>
        <v>0</v>
      </c>
      <c r="E11" s="51">
        <f>SUMPRODUCT(('数据-基础表'!BB10:BK10="地下")*('数据-基础表'!BB11:BK11="办公")*('数据-基础表'!BB5:BK5))+'数据-基础表'!BP5</f>
        <v>0</v>
      </c>
      <c r="F11" s="1396"/>
      <c r="G11" s="2239"/>
      <c r="H11" s="2239"/>
      <c r="I11" s="1396"/>
      <c r="J11" s="1396"/>
      <c r="K11" s="1396"/>
      <c r="L11" s="1396"/>
      <c r="M11" s="1396"/>
      <c r="N11" s="1396"/>
      <c r="O11" s="1396"/>
      <c r="P11" s="1396"/>
    </row>
    <row r="12" spans="1:16">
      <c r="A12" s="2240"/>
      <c r="B12" s="2241"/>
      <c r="C12" s="48" t="s">
        <v>1928</v>
      </c>
      <c r="D12" s="48">
        <f t="shared" si="0"/>
        <v>0</v>
      </c>
      <c r="E12" s="51">
        <f>SUMPRODUCT(('数据-基础表'!BB10:BK10="地下")*('数据-基础表'!BB11:BK11="仓储")*('数据-基础表'!BB5:BK5))</f>
        <v>0</v>
      </c>
      <c r="F12" s="1396"/>
      <c r="G12" s="2239"/>
      <c r="H12" s="2239"/>
      <c r="I12" s="1396"/>
      <c r="J12" s="1396"/>
      <c r="K12" s="1396"/>
      <c r="L12" s="1396"/>
      <c r="M12" s="1396"/>
      <c r="N12" s="1396"/>
      <c r="O12" s="1396"/>
      <c r="P12" s="1396"/>
    </row>
    <row r="13" spans="1:16">
      <c r="A13" s="2240"/>
      <c r="B13" s="2241"/>
      <c r="C13" s="48" t="s">
        <v>1929</v>
      </c>
      <c r="D13" s="48">
        <f t="shared" si="0"/>
        <v>0</v>
      </c>
      <c r="E13" s="51">
        <f>SUMPRODUCT(('数据-基础表'!BB10:BK10="地下")*('数据-基础表'!BB11:BK11="车库")*('数据-基础表'!BB5:BK5))</f>
        <v>0</v>
      </c>
      <c r="F13" s="1396"/>
      <c r="G13" s="2239"/>
      <c r="H13" s="2239"/>
      <c r="I13" s="1396"/>
      <c r="J13" s="1396"/>
      <c r="K13" s="1396"/>
      <c r="L13" s="1396"/>
      <c r="M13" s="1396"/>
      <c r="N13" s="1396"/>
      <c r="O13" s="1396"/>
      <c r="P13" s="1396"/>
    </row>
    <row r="14" spans="1:16">
      <c r="A14" s="2240"/>
      <c r="B14" s="2241"/>
      <c r="C14" s="48" t="s">
        <v>1941</v>
      </c>
      <c r="D14" s="48">
        <f t="shared" si="0"/>
        <v>1023.39</v>
      </c>
      <c r="E14" s="51">
        <f>SUMPRODUCT(('数据-基础表'!BB10:BK10="地下")*('数据-基础表'!BB11:BK11="车库—商业")*('数据-基础表'!BB5:BK5))</f>
        <v>6958.0599999999995</v>
      </c>
      <c r="F14" s="1396"/>
      <c r="G14" s="2239"/>
      <c r="H14" s="2239"/>
      <c r="I14" s="1396"/>
      <c r="J14" s="1396"/>
      <c r="K14" s="1396"/>
      <c r="L14" s="1396"/>
      <c r="M14" s="1396"/>
      <c r="N14" s="1396"/>
      <c r="O14" s="1396"/>
      <c r="P14" s="1396"/>
    </row>
    <row r="15" spans="1:16" ht="15" thickBot="1">
      <c r="A15" s="2240"/>
      <c r="B15" s="2241"/>
      <c r="C15" s="48" t="s">
        <v>1936</v>
      </c>
      <c r="D15" s="48">
        <f t="shared" si="0"/>
        <v>0</v>
      </c>
      <c r="E15" s="51">
        <f>SUMPRODUCT(('数据-基础表'!BB10:BK10="地下")*('数据-基础表'!BB11:BK11="车库—办公")*('数据-基础表'!BB5:BK5))</f>
        <v>0</v>
      </c>
      <c r="F15" s="1396"/>
      <c r="G15" s="2239"/>
      <c r="H15" s="2239"/>
      <c r="I15" s="1396"/>
      <c r="J15" s="1396"/>
      <c r="K15" s="1396"/>
      <c r="L15" s="1396"/>
      <c r="M15" s="1396"/>
      <c r="N15" s="1396"/>
      <c r="O15" s="1396"/>
      <c r="P15" s="1396"/>
    </row>
    <row r="16" spans="1:16" ht="15.75" thickBot="1">
      <c r="A16" s="2236"/>
      <c r="B16" s="2241"/>
      <c r="C16" s="50" t="s">
        <v>1930</v>
      </c>
      <c r="D16" s="50">
        <f>SUM(D8:D15)</f>
        <v>5477.28</v>
      </c>
      <c r="E16" s="53">
        <f>SUM(E8:E15)</f>
        <v>37240.229999999996</v>
      </c>
      <c r="F16" s="1396"/>
      <c r="G16" s="2239"/>
      <c r="H16" s="2242" t="s">
        <v>1942</v>
      </c>
      <c r="I16" s="2243"/>
      <c r="J16" s="1396"/>
      <c r="K16" s="3175" t="s">
        <v>1942</v>
      </c>
      <c r="L16" s="3176"/>
      <c r="M16" s="3176"/>
      <c r="N16" s="3176"/>
      <c r="O16" s="3176"/>
      <c r="P16" s="3177"/>
    </row>
    <row r="17" spans="1:19" ht="15">
      <c r="A17" s="2244" t="s">
        <v>1943</v>
      </c>
      <c r="B17" s="2245" t="s">
        <v>1944</v>
      </c>
      <c r="C17" s="2246" t="s">
        <v>1945</v>
      </c>
      <c r="D17" s="2247" t="s">
        <v>1933</v>
      </c>
      <c r="E17" s="2248" t="s">
        <v>1934</v>
      </c>
      <c r="F17" s="2249"/>
      <c r="G17" s="2250"/>
      <c r="H17" s="2251" t="s">
        <v>1946</v>
      </c>
      <c r="I17" s="2252" t="s">
        <v>1931</v>
      </c>
      <c r="J17" s="1396"/>
      <c r="K17" s="3172" t="s">
        <v>1947</v>
      </c>
      <c r="L17" s="3173"/>
      <c r="M17" s="3174"/>
      <c r="N17" s="3172" t="s">
        <v>1948</v>
      </c>
      <c r="O17" s="3173"/>
      <c r="P17" s="3174"/>
      <c r="R17" s="2230" t="s">
        <v>1949</v>
      </c>
      <c r="S17" s="64"/>
    </row>
    <row r="18" spans="1:19" ht="15">
      <c r="A18" s="2240"/>
      <c r="B18" s="2253"/>
      <c r="C18" s="2254"/>
      <c r="D18" s="2255"/>
      <c r="E18" s="2256" t="s">
        <v>1950</v>
      </c>
      <c r="F18" s="2257" t="s">
        <v>1951</v>
      </c>
      <c r="G18" s="2258" t="s">
        <v>1952</v>
      </c>
      <c r="H18" s="1266" t="s">
        <v>1953</v>
      </c>
      <c r="I18" s="2259" t="s">
        <v>1954</v>
      </c>
      <c r="J18" s="1396"/>
      <c r="K18" s="1266" t="s">
        <v>1955</v>
      </c>
      <c r="L18" s="2260" t="s">
        <v>1956</v>
      </c>
      <c r="M18" s="1050" t="s">
        <v>1957</v>
      </c>
      <c r="N18" s="1266" t="s">
        <v>1955</v>
      </c>
      <c r="O18" s="2260" t="s">
        <v>1956</v>
      </c>
      <c r="P18" s="1050" t="s">
        <v>1957</v>
      </c>
      <c r="R18" s="1251" t="s">
        <v>1958</v>
      </c>
      <c r="S18" s="1251" t="s">
        <v>1959</v>
      </c>
    </row>
    <row r="19" spans="1:19">
      <c r="A19" s="2261"/>
      <c r="B19" s="50" t="s">
        <v>1932</v>
      </c>
      <c r="C19" s="2939" t="s">
        <v>3580</v>
      </c>
      <c r="D19" s="48">
        <f>ROUND($D$3*E19/$E$3,2)</f>
        <v>4453.8999999999996</v>
      </c>
      <c r="E19" s="56">
        <f t="shared" ref="E19:E26" si="1">SUM(F19:G19)</f>
        <v>30282.17</v>
      </c>
      <c r="F19" s="57">
        <f>'数据-基础表'!I14</f>
        <v>16057.43</v>
      </c>
      <c r="G19" s="58">
        <f>'数据-基础表'!O14</f>
        <v>14224.74</v>
      </c>
      <c r="H19" s="724">
        <f>ROUND($D$3*I19/$E$3,2)</f>
        <v>477.3</v>
      </c>
      <c r="I19" s="51">
        <f t="shared" ref="I19:I26" si="2">IF($I$17="自定义",P19,M19)</f>
        <v>3245.19</v>
      </c>
      <c r="J19" s="1396"/>
      <c r="K19" s="1395">
        <f t="shared" ref="K19:K26" si="3">ROUND(E$28*E19/E$27,2)</f>
        <v>3245.19</v>
      </c>
      <c r="L19" s="1251">
        <f t="shared" ref="L19:L26" si="4">ROUND(IF(COUNTIF(C19,"*住宅*")&gt;0,E$29*E19/E$32,0),2)</f>
        <v>0</v>
      </c>
      <c r="M19" s="1407">
        <f>K19+L19</f>
        <v>3245.19</v>
      </c>
      <c r="N19" s="2262"/>
      <c r="O19" s="2263"/>
      <c r="P19" s="1407">
        <f>N19+O19</f>
        <v>0</v>
      </c>
      <c r="R19" s="1251">
        <f t="shared" ref="R19:S26" si="5">D19+H19</f>
        <v>4931.2</v>
      </c>
      <c r="S19" s="1252">
        <f t="shared" si="5"/>
        <v>33527.360000000001</v>
      </c>
    </row>
    <row r="20" spans="1:19">
      <c r="A20" s="2264"/>
      <c r="B20" s="50" t="s">
        <v>1960</v>
      </c>
      <c r="C20" s="2939" t="s">
        <v>3581</v>
      </c>
      <c r="D20" s="48">
        <f t="shared" ref="D20:D26" si="6">ROUND($D$3*E20/$E$3,2)</f>
        <v>1023.39</v>
      </c>
      <c r="E20" s="56">
        <f t="shared" si="1"/>
        <v>6958.0599999999995</v>
      </c>
      <c r="F20" s="57"/>
      <c r="G20" s="58">
        <f>'数据-基础表'!M14</f>
        <v>6958.0599999999995</v>
      </c>
      <c r="H20" s="724">
        <f t="shared" ref="H20:H26" si="7">ROUND($D$3*I20/$E$3,2)</f>
        <v>109.67</v>
      </c>
      <c r="I20" s="51">
        <f t="shared" si="2"/>
        <v>745.66</v>
      </c>
      <c r="J20" s="1396"/>
      <c r="K20" s="1395">
        <f t="shared" si="3"/>
        <v>745.66</v>
      </c>
      <c r="L20" s="1251">
        <f t="shared" si="4"/>
        <v>0</v>
      </c>
      <c r="M20" s="1407">
        <f t="shared" ref="M20:M26" si="8">K20+L20</f>
        <v>745.66</v>
      </c>
      <c r="N20" s="2262"/>
      <c r="O20" s="2263"/>
      <c r="P20" s="1407">
        <f t="shared" ref="P20:P26" si="9">N20+O20</f>
        <v>0</v>
      </c>
      <c r="R20" s="1251">
        <f t="shared" si="5"/>
        <v>1133.06</v>
      </c>
      <c r="S20" s="1252">
        <f t="shared" si="5"/>
        <v>7703.7199999999993</v>
      </c>
    </row>
    <row r="21" spans="1:19">
      <c r="A21" s="2264"/>
      <c r="B21" s="50" t="s">
        <v>1960</v>
      </c>
      <c r="C21" s="2939"/>
      <c r="D21" s="48">
        <f t="shared" si="6"/>
        <v>0</v>
      </c>
      <c r="E21" s="56">
        <f t="shared" si="1"/>
        <v>0</v>
      </c>
      <c r="F21" s="57"/>
      <c r="G21" s="58"/>
      <c r="H21" s="724">
        <f t="shared" si="7"/>
        <v>0</v>
      </c>
      <c r="I21" s="51">
        <f t="shared" si="2"/>
        <v>0</v>
      </c>
      <c r="J21" s="1396"/>
      <c r="K21" s="1395">
        <f t="shared" si="3"/>
        <v>0</v>
      </c>
      <c r="L21" s="1251">
        <f t="shared" si="4"/>
        <v>0</v>
      </c>
      <c r="M21" s="1407">
        <f t="shared" si="8"/>
        <v>0</v>
      </c>
      <c r="N21" s="2262"/>
      <c r="O21" s="2263"/>
      <c r="P21" s="1407">
        <f t="shared" si="9"/>
        <v>0</v>
      </c>
      <c r="R21" s="1251">
        <f t="shared" si="5"/>
        <v>0</v>
      </c>
      <c r="S21" s="1252">
        <f t="shared" si="5"/>
        <v>0</v>
      </c>
    </row>
    <row r="22" spans="1:19">
      <c r="A22" s="2264"/>
      <c r="B22" s="50" t="s">
        <v>1960</v>
      </c>
      <c r="C22" s="3012"/>
      <c r="D22" s="48">
        <f t="shared" si="6"/>
        <v>0</v>
      </c>
      <c r="E22" s="56">
        <f t="shared" si="1"/>
        <v>0</v>
      </c>
      <c r="F22" s="61"/>
      <c r="G22" s="62"/>
      <c r="H22" s="724">
        <f t="shared" si="7"/>
        <v>0</v>
      </c>
      <c r="I22" s="51">
        <f t="shared" si="2"/>
        <v>0</v>
      </c>
      <c r="J22" s="1396"/>
      <c r="K22" s="1395">
        <f t="shared" si="3"/>
        <v>0</v>
      </c>
      <c r="L22" s="1251">
        <f t="shared" si="4"/>
        <v>0</v>
      </c>
      <c r="M22" s="1407">
        <f t="shared" si="8"/>
        <v>0</v>
      </c>
      <c r="N22" s="2262"/>
      <c r="O22" s="2263"/>
      <c r="P22" s="1407">
        <f t="shared" si="9"/>
        <v>0</v>
      </c>
      <c r="R22" s="1251">
        <f t="shared" si="5"/>
        <v>0</v>
      </c>
      <c r="S22" s="1252">
        <f t="shared" si="5"/>
        <v>0</v>
      </c>
    </row>
    <row r="23" spans="1:19">
      <c r="A23" s="2264"/>
      <c r="B23" s="50" t="s">
        <v>1960</v>
      </c>
      <c r="C23" s="3012"/>
      <c r="D23" s="48">
        <f>ROUND($D$3*E23/$E$3,2)</f>
        <v>0</v>
      </c>
      <c r="E23" s="56">
        <f>SUM(F23:G23)</f>
        <v>0</v>
      </c>
      <c r="F23" s="61"/>
      <c r="G23" s="62"/>
      <c r="H23" s="724">
        <f>ROUND($D$3*I23/$E$3,2)</f>
        <v>0</v>
      </c>
      <c r="I23" s="51">
        <f t="shared" si="2"/>
        <v>0</v>
      </c>
      <c r="J23" s="1396"/>
      <c r="K23" s="1395">
        <f t="shared" si="3"/>
        <v>0</v>
      </c>
      <c r="L23" s="1251">
        <f t="shared" si="4"/>
        <v>0</v>
      </c>
      <c r="M23" s="1407">
        <f t="shared" si="8"/>
        <v>0</v>
      </c>
      <c r="N23" s="2262"/>
      <c r="O23" s="2263"/>
      <c r="P23" s="1407">
        <f t="shared" si="9"/>
        <v>0</v>
      </c>
      <c r="R23" s="1251">
        <f t="shared" si="5"/>
        <v>0</v>
      </c>
      <c r="S23" s="1252">
        <f t="shared" si="5"/>
        <v>0</v>
      </c>
    </row>
    <row r="24" spans="1:19">
      <c r="A24" s="2264"/>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2"/>
      <c r="O24" s="2263"/>
      <c r="P24" s="1407">
        <f t="shared" si="9"/>
        <v>0</v>
      </c>
      <c r="R24" s="1251">
        <f t="shared" si="5"/>
        <v>0</v>
      </c>
      <c r="S24" s="1252">
        <f t="shared" si="5"/>
        <v>0</v>
      </c>
    </row>
    <row r="25" spans="1:19">
      <c r="A25" s="2264"/>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2"/>
      <c r="O25" s="2263"/>
      <c r="P25" s="1407">
        <f t="shared" si="9"/>
        <v>0</v>
      </c>
      <c r="R25" s="1251">
        <f t="shared" si="5"/>
        <v>0</v>
      </c>
      <c r="S25" s="1252">
        <f t="shared" si="5"/>
        <v>0</v>
      </c>
    </row>
    <row r="26" spans="1:19">
      <c r="A26" s="2264"/>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5"/>
      <c r="O26" s="2266"/>
      <c r="P26" s="67">
        <f t="shared" si="9"/>
        <v>0</v>
      </c>
      <c r="R26" s="1251">
        <f t="shared" si="5"/>
        <v>0</v>
      </c>
      <c r="S26" s="1252">
        <f t="shared" si="5"/>
        <v>0</v>
      </c>
    </row>
    <row r="27" spans="1:19" ht="15.75" thickBot="1">
      <c r="A27" s="2264"/>
      <c r="B27" s="48"/>
      <c r="C27" s="2267" t="s">
        <v>1961</v>
      </c>
      <c r="D27" s="1397">
        <f>SUM(D19:D26)</f>
        <v>5477.29</v>
      </c>
      <c r="E27" s="1398">
        <f>IF(SUM(E19:E26)='数据-基础表'!BA5,SUM(E19:E26),IF(F27="地上面积有误","面积有误","地下面积有误"))</f>
        <v>37240.229999999996</v>
      </c>
      <c r="F27" s="1397">
        <f>IF(SUM(F19:F26)=E8,SUM(F19:F26),"地上面积有误")</f>
        <v>16057.43</v>
      </c>
      <c r="G27" s="1399">
        <f>SUM(G19:G26)</f>
        <v>21182.799999999999</v>
      </c>
      <c r="H27" s="1400">
        <f>SUM(H19:H26)</f>
        <v>586.97</v>
      </c>
      <c r="I27" s="1401">
        <f>SUM(I19:I26)</f>
        <v>3990.85</v>
      </c>
      <c r="J27" s="1396"/>
      <c r="K27" s="1404">
        <f>SUM(K19:K26)</f>
        <v>3990.85</v>
      </c>
      <c r="L27" s="1405">
        <f>SUM(L19:L26)</f>
        <v>0</v>
      </c>
      <c r="M27" s="1408">
        <f>SUM(M19:M26)</f>
        <v>3990.85</v>
      </c>
      <c r="N27" s="1404">
        <f t="shared" ref="N27:O27" si="10">SUM(N19:N26)</f>
        <v>0</v>
      </c>
      <c r="O27" s="1405">
        <f t="shared" si="10"/>
        <v>0</v>
      </c>
      <c r="P27" s="1406">
        <f>SUM(P19:P26)</f>
        <v>0</v>
      </c>
      <c r="R27" s="1253">
        <f>IF(SUM(R19:R26)=$D$3,SUM(R19:R26),SUM(R19:R26)&amp;"误差"&amp;ROUND(SUM(R19:R26)-$D$3,2))</f>
        <v>6064.26</v>
      </c>
      <c r="S27" s="1251">
        <f>IF(SUM(S19:S26)=$E$3,SUM(S19:S26),SUM(S19:S26)&amp;"误差"&amp;ROUND(SUM(S19:S26)-E3,2))</f>
        <v>41231.08</v>
      </c>
    </row>
    <row r="28" spans="1:19">
      <c r="A28" s="2264"/>
      <c r="B28" s="50" t="s">
        <v>1962</v>
      </c>
      <c r="C28" s="1263" t="s">
        <v>1963</v>
      </c>
      <c r="D28" s="48">
        <f>ROUND($D$3*E28/$E$3,2)</f>
        <v>586.97</v>
      </c>
      <c r="E28" s="56">
        <f>SUM(F28:G28)</f>
        <v>3990.85</v>
      </c>
      <c r="F28" s="64">
        <f>'数据-基础表'!BQ5+'数据-基础表'!BS5</f>
        <v>652</v>
      </c>
      <c r="G28" s="65">
        <f>'数据-基础表'!BR5+'数据-基础表'!BT5</f>
        <v>3338.85</v>
      </c>
      <c r="H28" s="1396"/>
      <c r="I28" s="1396"/>
      <c r="J28" s="1396"/>
      <c r="K28" s="1396"/>
      <c r="L28" s="1396"/>
      <c r="M28" s="1396"/>
      <c r="N28" s="1396"/>
      <c r="O28" s="1396"/>
      <c r="P28" s="1396"/>
    </row>
    <row r="29" spans="1:19">
      <c r="A29" s="2264"/>
      <c r="B29" s="50" t="s">
        <v>1962</v>
      </c>
      <c r="C29" s="2268"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4"/>
      <c r="B30" s="50"/>
      <c r="C30" s="2269" t="s">
        <v>1961</v>
      </c>
      <c r="D30" s="1397">
        <f>SUM(D28:D29)</f>
        <v>586.97</v>
      </c>
      <c r="E30" s="1397">
        <f>SUM(E28:E29)</f>
        <v>3990.85</v>
      </c>
      <c r="F30" s="1397">
        <f>SUM(F28:F29)</f>
        <v>652</v>
      </c>
      <c r="G30" s="1399">
        <f>SUM(G28:G29)</f>
        <v>3338.85</v>
      </c>
      <c r="H30" s="1396"/>
      <c r="I30" s="1396"/>
      <c r="J30" s="1396"/>
      <c r="K30" s="1396"/>
      <c r="L30" s="1396"/>
      <c r="M30" s="1396"/>
      <c r="N30" s="1396"/>
      <c r="O30" s="1396"/>
      <c r="P30" s="1396"/>
    </row>
    <row r="31" spans="1:19" ht="15.75" thickBot="1">
      <c r="A31" s="2270"/>
      <c r="B31" s="2271"/>
      <c r="C31" s="1011" t="s">
        <v>1965</v>
      </c>
      <c r="D31" s="730">
        <f>D27+D30</f>
        <v>6064.26</v>
      </c>
      <c r="E31" s="730">
        <f>E27+E30</f>
        <v>41231.079999999994</v>
      </c>
      <c r="F31" s="731">
        <f>F27+F30</f>
        <v>16709.43</v>
      </c>
      <c r="G31" s="732">
        <f>G27+G30</f>
        <v>24521.649999999998</v>
      </c>
      <c r="H31" s="1396"/>
      <c r="I31" s="1396"/>
      <c r="J31" s="1396"/>
      <c r="K31" s="1396"/>
      <c r="L31" s="1396"/>
      <c r="M31" s="1396"/>
      <c r="N31" s="1396"/>
      <c r="O31" s="1396"/>
      <c r="P31" s="1396"/>
    </row>
    <row r="32" spans="1:19">
      <c r="A32" s="2235"/>
      <c r="B32" s="2235" t="s">
        <v>1966</v>
      </c>
      <c r="C32" s="2235"/>
      <c r="D32" s="2235"/>
      <c r="E32" s="1278">
        <f>SUMIF(C19:C26,"*住宅*",E19:E26)</f>
        <v>0</v>
      </c>
      <c r="F32" s="2235"/>
      <c r="G32" s="2235"/>
      <c r="H32" s="1396"/>
      <c r="I32" s="1396"/>
      <c r="J32" s="1396"/>
      <c r="K32" s="1396"/>
      <c r="L32" s="1396"/>
      <c r="M32" s="1396"/>
      <c r="N32" s="1396"/>
      <c r="O32" s="1396"/>
      <c r="P32" s="1396"/>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3"/>
      <c r="C1" s="1586"/>
      <c r="D1" s="2274"/>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7" t="s">
        <v>1968</v>
      </c>
      <c r="B2" s="1270">
        <f>项目基本情况!D3</f>
        <v>43104</v>
      </c>
      <c r="C2" s="2278"/>
      <c r="D2" s="2279"/>
      <c r="E2" s="2278"/>
      <c r="F2" s="2278"/>
      <c r="G2" s="2278"/>
      <c r="H2" s="2278"/>
      <c r="I2" s="2278"/>
      <c r="J2" s="2278"/>
      <c r="K2" s="1431"/>
      <c r="L2" s="1431"/>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6" customFormat="1" ht="15" thickBot="1">
      <c r="A3" s="2034"/>
      <c r="B3" s="2281"/>
      <c r="C3" s="2278"/>
      <c r="D3" s="2279"/>
      <c r="E3" s="2278"/>
      <c r="F3" s="2278"/>
      <c r="G3" s="2278"/>
      <c r="H3" s="2278"/>
      <c r="I3" s="2278"/>
      <c r="J3" s="2278"/>
      <c r="K3" s="1431"/>
      <c r="L3" s="1431"/>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6"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7" customFormat="1" ht="42">
      <c r="A5" s="2290" t="s">
        <v>1975</v>
      </c>
      <c r="B5" s="2291" t="s">
        <v>1976</v>
      </c>
      <c r="C5" s="2292" t="s">
        <v>1977</v>
      </c>
      <c r="D5" s="2293" t="s">
        <v>1978</v>
      </c>
      <c r="E5" s="1272" t="s">
        <v>1979</v>
      </c>
      <c r="F5" s="2294" t="s">
        <v>1980</v>
      </c>
      <c r="G5" s="1272" t="s">
        <v>1981</v>
      </c>
      <c r="H5" s="1272" t="s">
        <v>1982</v>
      </c>
      <c r="I5" s="1272" t="s">
        <v>1983</v>
      </c>
      <c r="J5" s="2295" t="s">
        <v>1984</v>
      </c>
      <c r="K5" s="2296" t="s">
        <v>1985</v>
      </c>
      <c r="L5" s="2297" t="s">
        <v>1986</v>
      </c>
      <c r="M5" s="2298" t="s">
        <v>1987</v>
      </c>
      <c r="N5" s="2299" t="s">
        <v>3607</v>
      </c>
      <c r="O5" s="2297" t="s">
        <v>1988</v>
      </c>
      <c r="P5" s="2300" t="s">
        <v>1989</v>
      </c>
      <c r="Q5" s="69" t="s">
        <v>1990</v>
      </c>
      <c r="R5" s="2301" t="s">
        <v>1991</v>
      </c>
      <c r="S5" s="2302" t="s">
        <v>1992</v>
      </c>
      <c r="T5" s="2303" t="s">
        <v>1993</v>
      </c>
      <c r="U5" s="1271" t="s">
        <v>1994</v>
      </c>
      <c r="V5" s="1272" t="s">
        <v>1995</v>
      </c>
      <c r="W5" s="1272" t="s">
        <v>1996</v>
      </c>
      <c r="X5" s="71"/>
      <c r="Y5" s="70" t="s">
        <v>1997</v>
      </c>
      <c r="Z5" s="2304" t="s">
        <v>1994</v>
      </c>
      <c r="AA5" s="1272" t="s">
        <v>1995</v>
      </c>
      <c r="AB5" s="1272" t="s">
        <v>1996</v>
      </c>
      <c r="AC5" s="71"/>
      <c r="AD5" s="71" t="s">
        <v>1997</v>
      </c>
      <c r="AE5" s="1271" t="s">
        <v>1998</v>
      </c>
      <c r="AF5" s="1272" t="s">
        <v>1999</v>
      </c>
      <c r="AG5" s="70" t="s">
        <v>2000</v>
      </c>
      <c r="AH5" s="1271" t="s">
        <v>2001</v>
      </c>
      <c r="AI5" s="2304" t="s">
        <v>2002</v>
      </c>
      <c r="AJ5" s="2304" t="s">
        <v>2003</v>
      </c>
      <c r="AK5" s="1272" t="s">
        <v>2004</v>
      </c>
      <c r="AL5" s="1272" t="s">
        <v>2005</v>
      </c>
      <c r="AM5" s="70" t="s">
        <v>2006</v>
      </c>
      <c r="AN5" s="2305" t="s">
        <v>2007</v>
      </c>
      <c r="AO5" s="2077" t="s">
        <v>2008</v>
      </c>
      <c r="AP5" s="1253" t="s">
        <v>2009</v>
      </c>
      <c r="AQ5" s="2306" t="s">
        <v>2010</v>
      </c>
      <c r="AR5" s="2306"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6" customFormat="1" ht="14.25">
      <c r="A6" s="2307" t="str">
        <f>'数据-汇总表'!C19</f>
        <v>商业</v>
      </c>
      <c r="B6" s="2308" t="str">
        <f>IF(A6=0,"","经营性")</f>
        <v>经营性</v>
      </c>
      <c r="C6" s="2309" t="s">
        <v>1378</v>
      </c>
      <c r="D6" s="1055">
        <f>SUMIF(项目基本情况!D$12:I$12,C6,项目基本情况!D$14:I$14)</f>
        <v>40</v>
      </c>
      <c r="E6" s="1052">
        <f>IF(B6="","",SUMIF(项目基本情况!D$12:I$12,C6,项目基本情况!D$13:I$13))</f>
        <v>52550</v>
      </c>
      <c r="F6" s="72">
        <f>SUMIF(项目基本情况!D$12:I$12,C6,项目基本情况!D$15:I$15)</f>
        <v>25.87</v>
      </c>
      <c r="G6" s="73">
        <f>IF(ISERROR(ROUND(POWER(1+H6,D6-F6)*(POWER(1+H6,F6)-1)/(POWER(1+H6,D6)-1),3)),0,ROUND(POWER(1+H6,D6-F6)*(POWER(1+H6,F6)-1)/(POWER(1+H6,D6)-1),3))</f>
        <v>0.84899999999999998</v>
      </c>
      <c r="H6" s="803">
        <v>5.5E-2</v>
      </c>
      <c r="I6" s="803">
        <v>0.06</v>
      </c>
      <c r="J6" s="74">
        <v>8.5000000000000006E-2</v>
      </c>
      <c r="K6" s="1255">
        <f>SUMIF('数据-汇总表'!C$19:C$33,A6,'数据-汇总表'!E$19:E$33)</f>
        <v>30282.17</v>
      </c>
      <c r="L6" s="804">
        <v>4000</v>
      </c>
      <c r="M6" s="75">
        <f t="shared" ref="M6:M14" si="0">ROUND(K6*L6/10000,0)</f>
        <v>12113</v>
      </c>
      <c r="N6" s="802">
        <v>0.85</v>
      </c>
      <c r="O6" s="75">
        <f>IF($N$5="成新度","——",ROUND(M6*N6,0))</f>
        <v>10296</v>
      </c>
      <c r="P6" s="76">
        <f>IF($N$5="成新度","——",M6-O6)</f>
        <v>1817</v>
      </c>
      <c r="Q6" s="805">
        <v>0.35</v>
      </c>
      <c r="R6" s="77">
        <f ca="1">SUMIF('数据-汇总表'!C$19:C$33,A6,'数据-汇总表'!R$19:R$27)</f>
        <v>4931.2</v>
      </c>
      <c r="S6" s="54">
        <f>IF('数据-汇总表'!$I$17="按面积比例",SUMIF('数据-汇总表'!C$19:C$33,A6,'数据-汇总表'!K$19:K$33),SUMIF('数据-汇总表'!C$19:C$33,A6,'数据-汇总表'!N$19:N$33))</f>
        <v>3245.19</v>
      </c>
      <c r="T6" s="1447">
        <f>ROUND($L$14*S6/10000,0)</f>
        <v>811</v>
      </c>
      <c r="U6" s="78"/>
      <c r="V6" s="79"/>
      <c r="W6" s="79"/>
      <c r="X6" s="1265"/>
      <c r="Y6" s="80"/>
      <c r="Z6" s="81"/>
      <c r="AA6" s="74"/>
      <c r="AB6" s="74"/>
      <c r="AC6" s="1265"/>
      <c r="AD6" s="82"/>
      <c r="AE6" s="1266">
        <f ca="1">IF(AN6="",0,SUMIF(INDIRECT("'"&amp;AN6&amp;"'"&amp;"!E:E"),$AE$5,INDIRECT("'"&amp;AN6&amp;"'"&amp;"!F:F")))</f>
        <v>0</v>
      </c>
      <c r="AF6" s="1809"/>
      <c r="AG6" s="147">
        <f>IF(AF6="",0,AE6-AF6)</f>
        <v>0</v>
      </c>
      <c r="AH6" s="83"/>
      <c r="AI6" s="85"/>
      <c r="AJ6" s="86"/>
      <c r="AK6" s="87"/>
      <c r="AL6" s="88"/>
      <c r="AM6" s="89"/>
      <c r="AN6" s="2310"/>
      <c r="AO6" s="55" t="e">
        <f ca="1">SUMIF(INDIRECT("'"&amp;AN6&amp;"'"&amp;"!A:A"),"总价",INDIRECT("'"&amp;AN6&amp;"'"&amp;"!B:B"))</f>
        <v>#REF!</v>
      </c>
      <c r="AP6" s="2311">
        <f>IF(C6="住宅",K6*L6,0)</f>
        <v>0</v>
      </c>
      <c r="AQ6" s="55">
        <f>ROUND($L$14*$N$14*S6/10000,0)</f>
        <v>690</v>
      </c>
      <c r="AR6" s="55">
        <f>ROUND($L$14*(1-$N$14)*S6/10000,0)</f>
        <v>122</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6" customFormat="1" ht="14.25">
      <c r="A7" s="2307" t="str">
        <f>'数据-汇总表'!C20</f>
        <v>地下车库</v>
      </c>
      <c r="B7" s="2308" t="str">
        <f t="shared" ref="B7:B13" si="1">IF(A7=0,"","经营性")</f>
        <v>经营性</v>
      </c>
      <c r="C7" s="2309" t="s">
        <v>3048</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0.879</v>
      </c>
      <c r="H7" s="803">
        <v>0.04</v>
      </c>
      <c r="I7" s="803">
        <v>4.4999999999999998E-2</v>
      </c>
      <c r="J7" s="74">
        <v>8.5000000000000006E-2</v>
      </c>
      <c r="K7" s="1255">
        <f>SUMIF('数据-汇总表'!C$19:C$33,A7,'数据-汇总表'!E$19:E$33)</f>
        <v>6958.0599999999995</v>
      </c>
      <c r="L7" s="3090">
        <v>2500</v>
      </c>
      <c r="M7" s="75">
        <f t="shared" si="0"/>
        <v>1740</v>
      </c>
      <c r="N7" s="802">
        <v>0.85</v>
      </c>
      <c r="O7" s="75">
        <f t="shared" ref="O7:O14" si="3">IF($N$5="成新度","——",ROUND(M7*N7,0))</f>
        <v>1479</v>
      </c>
      <c r="P7" s="76">
        <f t="shared" ref="P7:P14" si="4">IF($N$5="成新度","——",M7-O7)</f>
        <v>261</v>
      </c>
      <c r="Q7" s="3091">
        <v>0.1</v>
      </c>
      <c r="R7" s="77">
        <f ca="1">SUMIF('数据-汇总表'!C$19:C$33,A7,'数据-汇总表'!R$19:R$27)</f>
        <v>1133.06</v>
      </c>
      <c r="S7" s="54">
        <f>IF('数据-汇总表'!$I$17="按面积比例",SUMIF('数据-汇总表'!C$19:C$33,A7,'数据-汇总表'!K$19:K$33),SUMIF('数据-汇总表'!C$19:C$33,A7,'数据-汇总表'!N$19:N$33))</f>
        <v>745.66</v>
      </c>
      <c r="T7" s="1447">
        <f t="shared" ref="T7:T13" si="5">ROUND($L$14*S7/10000,0)</f>
        <v>186</v>
      </c>
      <c r="U7" s="78">
        <v>2.4</v>
      </c>
      <c r="V7" s="79">
        <v>0.03</v>
      </c>
      <c r="W7" s="79">
        <v>0.1</v>
      </c>
      <c r="X7" s="1265"/>
      <c r="Y7" s="80">
        <f>'[1]数据-取费表'!$Y$6</f>
        <v>0.87</v>
      </c>
      <c r="Z7" s="81"/>
      <c r="AA7" s="74"/>
      <c r="AB7" s="74"/>
      <c r="AC7" s="1265"/>
      <c r="AD7" s="82"/>
      <c r="AE7" s="1266">
        <f t="shared" ref="AE7:AE13" ca="1" si="6">IF(AN7="",0,SUMIF(INDIRECT("'"&amp;AN7&amp;"'"&amp;"!E:E"),$AE$5,INDIRECT("'"&amp;AN7&amp;"'"&amp;"!F:F")))</f>
        <v>35.78</v>
      </c>
      <c r="AF7" s="1809"/>
      <c r="AG7" s="147">
        <f t="shared" ref="AG7:AG13" si="7">IF(AF7="",0,AE7-AF7)</f>
        <v>0</v>
      </c>
      <c r="AH7" s="83"/>
      <c r="AI7" s="85">
        <v>365</v>
      </c>
      <c r="AJ7" s="86"/>
      <c r="AK7" s="87">
        <v>1.4999999999999999E-2</v>
      </c>
      <c r="AL7" s="88">
        <v>1.5E-3</v>
      </c>
      <c r="AM7" s="89">
        <v>0.01</v>
      </c>
      <c r="AN7" s="2310" t="s">
        <v>3582</v>
      </c>
      <c r="AO7" s="55">
        <f t="shared" ref="AO7:AO13" ca="1" si="8">SUMIF(INDIRECT("'"&amp;AN7&amp;"'"&amp;"!A:A"),"总价",INDIRECT("'"&amp;AN7&amp;"'"&amp;"!B:B"))</f>
        <v>11955</v>
      </c>
      <c r="AP7" s="2311">
        <f t="shared" ref="AP7:AP13" si="9">IF(C7="住宅",K7*L7,0)</f>
        <v>0</v>
      </c>
      <c r="AQ7" s="55">
        <f t="shared" ref="AQ7:AQ13" si="10">ROUND($L$14*$N$14*S7/10000,0)</f>
        <v>158</v>
      </c>
      <c r="AR7" s="55">
        <f t="shared" ref="AR7:AR13" si="11">ROUND($L$14*(1-$N$14)*S7/10000,0)</f>
        <v>28</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6" customFormat="1" ht="14.25">
      <c r="A8" s="2307">
        <f>'数据-汇总表'!C21</f>
        <v>0</v>
      </c>
      <c r="B8" s="2308" t="str">
        <f t="shared" si="1"/>
        <v/>
      </c>
      <c r="C8" s="2309"/>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v>2500</v>
      </c>
      <c r="M8" s="75">
        <f>ROUND(K8*L8/10000,0)</f>
        <v>0</v>
      </c>
      <c r="N8" s="802">
        <v>0.85</v>
      </c>
      <c r="O8" s="75">
        <f t="shared" si="3"/>
        <v>0</v>
      </c>
      <c r="P8" s="76">
        <f t="shared" si="4"/>
        <v>0</v>
      </c>
      <c r="Q8" s="805">
        <v>0.1</v>
      </c>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6" customFormat="1" ht="14.25">
      <c r="A9" s="2307">
        <f>'数据-汇总表'!C22</f>
        <v>0</v>
      </c>
      <c r="B9" s="2308" t="str">
        <f t="shared" si="1"/>
        <v/>
      </c>
      <c r="C9" s="2309"/>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6" customFormat="1" ht="14.25">
      <c r="A10" s="2307">
        <f>'数据-汇总表'!C23</f>
        <v>0</v>
      </c>
      <c r="B10" s="2308" t="str">
        <f t="shared" si="1"/>
        <v/>
      </c>
      <c r="C10" s="2309"/>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6" customFormat="1" ht="14.25">
      <c r="A11" s="2307">
        <f>'数据-汇总表'!C24</f>
        <v>0</v>
      </c>
      <c r="B11" s="2308" t="str">
        <f t="shared" si="1"/>
        <v/>
      </c>
      <c r="C11" s="2309"/>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6" customFormat="1" ht="14.25">
      <c r="A12" s="2307">
        <f>'数据-汇总表'!C25</f>
        <v>0</v>
      </c>
      <c r="B12" s="2308" t="str">
        <f t="shared" si="1"/>
        <v/>
      </c>
      <c r="C12" s="2309"/>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6" customFormat="1" ht="14.25">
      <c r="A13" s="2307">
        <f>'数据-汇总表'!C26</f>
        <v>0</v>
      </c>
      <c r="B13" s="2308" t="str">
        <f t="shared" si="1"/>
        <v/>
      </c>
      <c r="C13" s="2309"/>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6" customFormat="1" ht="14.25">
      <c r="A14" s="2312" t="s">
        <v>2012</v>
      </c>
      <c r="B14" s="2308" t="s">
        <v>2013</v>
      </c>
      <c r="C14" s="2313" t="s">
        <v>2012</v>
      </c>
      <c r="D14" s="1055"/>
      <c r="E14" s="1052"/>
      <c r="F14" s="72"/>
      <c r="G14" s="73"/>
      <c r="H14" s="1254"/>
      <c r="I14" s="1254"/>
      <c r="J14" s="1254"/>
      <c r="K14" s="1255">
        <f>SUMIF('数据-汇总表'!C$19:C$33,A14,'数据-汇总表'!E$19:E$33)</f>
        <v>3990.85</v>
      </c>
      <c r="L14" s="91">
        <v>2500</v>
      </c>
      <c r="M14" s="75">
        <f t="shared" si="0"/>
        <v>998</v>
      </c>
      <c r="N14" s="92">
        <v>0.85</v>
      </c>
      <c r="O14" s="75">
        <f t="shared" si="3"/>
        <v>848</v>
      </c>
      <c r="P14" s="76">
        <f t="shared" si="4"/>
        <v>150</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6" customFormat="1" ht="27">
      <c r="A15" s="2312" t="s">
        <v>2014</v>
      </c>
      <c r="B15" s="2308" t="s">
        <v>2013</v>
      </c>
      <c r="C15" s="2313"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6" customFormat="1" ht="15.75" thickBot="1">
      <c r="A16" s="2314" t="s">
        <v>2016</v>
      </c>
      <c r="B16" s="97"/>
      <c r="C16" s="1009"/>
      <c r="D16" s="2315"/>
      <c r="E16" s="97"/>
      <c r="F16" s="97"/>
      <c r="G16" s="98">
        <f>ROUND(SUMPRODUCT(G6:G13,K6:K13)/SUMPRODUCT((G6:G13&gt;0)*(K6:K13)),3)</f>
        <v>0.85499999999999998</v>
      </c>
      <c r="H16" s="99">
        <f>ROUND(SUMPRODUCT(H6:H13,K6:K13)/SUMPRODUCT((H6:H13&gt;0)*(K6:K13)),3)</f>
        <v>5.1999999999999998E-2</v>
      </c>
      <c r="I16" s="100"/>
      <c r="J16" s="100"/>
      <c r="K16" s="101">
        <f>SUM(K6:K15)</f>
        <v>41231.079999999994</v>
      </c>
      <c r="L16" s="102">
        <f>ROUND(M16*10000/SUM(K6:K14),0)</f>
        <v>3602</v>
      </c>
      <c r="M16" s="102">
        <f>SUM(M6:M14)</f>
        <v>14851</v>
      </c>
      <c r="N16" s="103">
        <f>ROUND(SUMPRODUCT(M6:M14,N6:N14)/M16,3)</f>
        <v>0.85</v>
      </c>
      <c r="O16" s="102">
        <f>SUM(O6:O14)</f>
        <v>12623</v>
      </c>
      <c r="P16" s="102">
        <f>SUM(P6:P14)</f>
        <v>2228</v>
      </c>
      <c r="Q16" s="104">
        <f>ROUND(SUMPRODUCT(Q6:Q13,K6:K13)/SUMPRODUCT((Q6:Q13&gt;0)*(K6:K13)),2)</f>
        <v>0.3</v>
      </c>
      <c r="R16" s="1259">
        <f ca="1">SUM(R6:R13)</f>
        <v>6064.26</v>
      </c>
      <c r="S16" s="105">
        <f>SUM(S6:S13)</f>
        <v>3990.85</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6"/>
      <c r="D17" s="2274"/>
      <c r="E17" s="2274"/>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1"/>
      <c r="C18" s="2278"/>
      <c r="D18" s="2279"/>
      <c r="E18" s="2278"/>
      <c r="F18" s="2278"/>
      <c r="G18" s="2278"/>
      <c r="H18" s="2278"/>
      <c r="I18" s="2278"/>
      <c r="J18" s="2278"/>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7" t="s">
        <v>2018</v>
      </c>
      <c r="B19" s="112">
        <v>0</v>
      </c>
      <c r="C19" s="2278" t="s">
        <v>2019</v>
      </c>
      <c r="D19" s="2279"/>
      <c r="E19" s="2278"/>
      <c r="F19" s="2278"/>
      <c r="G19" s="2278"/>
      <c r="H19" s="2278"/>
      <c r="I19" s="2278"/>
      <c r="J19" s="2278"/>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8" t="s">
        <v>2020</v>
      </c>
      <c r="B20" s="3088">
        <v>1</v>
      </c>
      <c r="C20" s="2278" t="s">
        <v>2021</v>
      </c>
      <c r="D20" s="2279"/>
      <c r="E20" s="2278"/>
      <c r="F20" s="2278"/>
      <c r="G20" s="2278"/>
      <c r="H20" s="2278"/>
      <c r="I20" s="2278"/>
      <c r="J20" s="2278"/>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9" t="s">
        <v>2022</v>
      </c>
      <c r="B21" s="113">
        <v>0.9</v>
      </c>
      <c r="C21" s="2278"/>
      <c r="D21" s="2279"/>
      <c r="E21" s="2278"/>
      <c r="F21" s="2278"/>
      <c r="G21" s="2278"/>
      <c r="H21" s="2278"/>
      <c r="I21" s="2278"/>
      <c r="J21" s="2278"/>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8" t="s">
        <v>2023</v>
      </c>
      <c r="B22" s="114">
        <f>B19+B20</f>
        <v>1</v>
      </c>
      <c r="C22" s="2278"/>
      <c r="D22" s="2279"/>
      <c r="E22" s="2278"/>
      <c r="F22" s="2278"/>
      <c r="G22" s="2278"/>
      <c r="H22" s="2278"/>
      <c r="I22" s="2278"/>
      <c r="J22" s="2278"/>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9" t="s">
        <v>2024</v>
      </c>
      <c r="B23" s="114">
        <f>B19+B21</f>
        <v>0.9</v>
      </c>
      <c r="C23" s="2278"/>
      <c r="D23" s="2279"/>
      <c r="E23" s="2278"/>
      <c r="F23" s="2278"/>
      <c r="G23" s="2278"/>
      <c r="H23" s="2278"/>
      <c r="I23" s="2278"/>
      <c r="J23" s="2278"/>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0" t="s">
        <v>2025</v>
      </c>
      <c r="B24" s="115">
        <f>B20-B21</f>
        <v>9.9999999999999978E-2</v>
      </c>
      <c r="C24" s="2278"/>
      <c r="D24" s="2279"/>
      <c r="E24" s="2278"/>
      <c r="F24" s="2278"/>
      <c r="G24" s="2278"/>
      <c r="H24" s="2278"/>
      <c r="I24" s="2278"/>
      <c r="J24" s="2278"/>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1"/>
      <c r="C25" s="2278"/>
      <c r="D25" s="2279"/>
      <c r="E25" s="2278"/>
      <c r="F25" s="2278"/>
      <c r="G25" s="2278"/>
      <c r="H25" s="2278"/>
      <c r="I25" s="2278"/>
      <c r="J25" s="2278"/>
      <c r="K25" s="169"/>
      <c r="L25" s="169"/>
      <c r="M25" s="1586"/>
      <c r="N25" s="1586"/>
      <c r="O25" s="1586"/>
      <c r="P25" s="1586">
        <v>1</v>
      </c>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7" t="s">
        <v>2026</v>
      </c>
      <c r="B26" s="2321" t="s">
        <v>2027</v>
      </c>
      <c r="C26" s="2322" t="s">
        <v>2028</v>
      </c>
      <c r="D26" s="2279"/>
      <c r="E26" s="2278"/>
      <c r="F26" s="2278"/>
      <c r="G26" s="2278"/>
      <c r="H26" s="2278"/>
      <c r="I26" s="2278"/>
      <c r="J26" s="2278"/>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5" customFormat="1" ht="27.75">
      <c r="A27" s="2323" t="s">
        <v>2029</v>
      </c>
      <c r="B27" s="116"/>
      <c r="C27" s="1769" t="s">
        <v>2030</v>
      </c>
      <c r="D27" s="2324"/>
      <c r="E27" s="1431"/>
      <c r="F27" s="1431"/>
      <c r="G27" s="2278"/>
      <c r="H27" s="2278"/>
      <c r="I27" s="2278"/>
      <c r="J27" s="2278"/>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5" customFormat="1" ht="27.75">
      <c r="A28" s="2326" t="s">
        <v>2031</v>
      </c>
      <c r="B28" s="119">
        <v>200</v>
      </c>
      <c r="C28" s="2327"/>
      <c r="D28" s="2324"/>
      <c r="E28" s="1431"/>
      <c r="F28" s="1431"/>
      <c r="G28" s="2278"/>
      <c r="H28" s="2278"/>
      <c r="I28" s="2278"/>
      <c r="J28" s="2278"/>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5" customFormat="1" ht="28.5" thickBot="1">
      <c r="A29" s="2328" t="s">
        <v>2032</v>
      </c>
      <c r="B29" s="121">
        <f ca="1">成本法!C10</f>
        <v>825</v>
      </c>
      <c r="C29" s="1769" t="s">
        <v>2033</v>
      </c>
      <c r="D29" s="2324"/>
      <c r="E29" s="1431"/>
      <c r="F29" s="1431"/>
      <c r="G29" s="2278"/>
      <c r="H29" s="2278"/>
      <c r="I29" s="2278"/>
      <c r="J29" s="2278"/>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5" customFormat="1" ht="27">
      <c r="A30" s="2329" t="s">
        <v>2034</v>
      </c>
      <c r="B30" s="725">
        <v>200</v>
      </c>
      <c r="C30" s="2327"/>
      <c r="D30" s="2324"/>
      <c r="E30" s="1431"/>
      <c r="F30" s="1431"/>
      <c r="G30" s="2278"/>
      <c r="H30" s="2278"/>
      <c r="I30" s="2278"/>
      <c r="J30" s="2278"/>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5" customFormat="1" ht="27">
      <c r="A31" s="2326" t="s">
        <v>2035</v>
      </c>
      <c r="B31" s="120">
        <f>B30-B32</f>
        <v>200</v>
      </c>
      <c r="C31" s="1769"/>
      <c r="D31" s="2324"/>
      <c r="E31" s="1431"/>
      <c r="F31" s="1431"/>
      <c r="G31" s="2278"/>
      <c r="H31" s="2278"/>
      <c r="I31" s="2278"/>
      <c r="J31" s="2278"/>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5" customFormat="1" ht="27.75" thickBot="1">
      <c r="A32" s="2330" t="s">
        <v>2036</v>
      </c>
      <c r="B32" s="726">
        <v>0</v>
      </c>
      <c r="C32" s="2327"/>
      <c r="D32" s="2279"/>
      <c r="E32" s="2278"/>
      <c r="F32" s="2278"/>
      <c r="G32" s="2278"/>
      <c r="H32" s="2278"/>
      <c r="I32" s="2278"/>
      <c r="J32" s="2278"/>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5" customFormat="1" ht="14.25">
      <c r="A33" s="2323" t="s">
        <v>2037</v>
      </c>
      <c r="B33" s="727">
        <v>0.05</v>
      </c>
      <c r="C33" s="1768" t="s">
        <v>2038</v>
      </c>
      <c r="D33" s="2279"/>
      <c r="E33" s="2278"/>
      <c r="F33" s="2278"/>
      <c r="G33" s="2278"/>
      <c r="H33" s="2278"/>
      <c r="I33" s="2278"/>
      <c r="J33" s="2278"/>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5" customFormat="1" ht="14.25">
      <c r="A34" s="2326" t="s">
        <v>2039</v>
      </c>
      <c r="B34" s="122">
        <v>0</v>
      </c>
      <c r="C34" s="1768" t="s">
        <v>2040</v>
      </c>
      <c r="D34" s="2279" t="s">
        <v>2041</v>
      </c>
      <c r="E34" s="733"/>
      <c r="F34" s="2278"/>
      <c r="G34" s="2278"/>
      <c r="H34" s="2278"/>
      <c r="I34" s="2278"/>
      <c r="J34" s="2278"/>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5" customFormat="1" ht="14.25">
      <c r="A35" s="2326" t="s">
        <v>2042</v>
      </c>
      <c r="B35" s="119">
        <v>200</v>
      </c>
      <c r="C35" s="1768" t="s">
        <v>2043</v>
      </c>
      <c r="D35" s="2324"/>
      <c r="E35" s="1431"/>
      <c r="F35" s="1431"/>
      <c r="G35" s="2278"/>
      <c r="H35" s="2278"/>
      <c r="I35" s="2278"/>
      <c r="J35" s="2278"/>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8" t="s">
        <v>2044</v>
      </c>
      <c r="B36" s="123">
        <v>1.4999999999999999E-2</v>
      </c>
      <c r="C36" s="1768" t="s">
        <v>2045</v>
      </c>
      <c r="D36" s="2279"/>
      <c r="E36" s="2278"/>
      <c r="F36" s="2278"/>
      <c r="G36" s="2278"/>
      <c r="H36" s="2278"/>
      <c r="I36" s="2278"/>
      <c r="J36" s="2278"/>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9" t="s">
        <v>2046</v>
      </c>
      <c r="B37" s="124">
        <v>0.02</v>
      </c>
      <c r="C37" s="1768" t="s">
        <v>2047</v>
      </c>
      <c r="D37" s="2279"/>
      <c r="E37" s="2278"/>
      <c r="F37" s="2278"/>
      <c r="G37" s="2278"/>
      <c r="H37" s="2278"/>
      <c r="I37" s="2278"/>
      <c r="J37" s="2278"/>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6" t="s">
        <v>2048</v>
      </c>
      <c r="B38" s="122">
        <v>0.02</v>
      </c>
      <c r="C38" s="1768" t="s">
        <v>2047</v>
      </c>
      <c r="D38" s="2279"/>
      <c r="E38" s="2278"/>
      <c r="F38" s="2278"/>
      <c r="G38" s="2278"/>
      <c r="H38" s="2278"/>
      <c r="I38" s="2278"/>
      <c r="J38" s="2278"/>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0" t="s">
        <v>2049</v>
      </c>
      <c r="B39" s="363">
        <f ca="1">存贷款利率!I1</f>
        <v>1.4999999999999999E-2</v>
      </c>
      <c r="C39" s="1768"/>
      <c r="D39" s="2279"/>
      <c r="E39" s="2278"/>
      <c r="F39" s="2278"/>
      <c r="G39" s="2278"/>
      <c r="H39" s="2278"/>
      <c r="I39" s="2278"/>
      <c r="J39" s="2278"/>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0" t="s">
        <v>2050</v>
      </c>
      <c r="B40" s="1304">
        <f ca="1">存贷款利率!G1</f>
        <v>4.3499999999999997E-2</v>
      </c>
      <c r="C40" s="1768" t="s">
        <v>2051</v>
      </c>
      <c r="D40" s="1586"/>
      <c r="E40" s="2279"/>
      <c r="F40" s="2278"/>
      <c r="G40" s="2278"/>
      <c r="H40" s="2278"/>
      <c r="I40" s="2278"/>
      <c r="J40" s="2278"/>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3" t="s">
        <v>2052</v>
      </c>
      <c r="B41" s="125">
        <f>B42+B43</f>
        <v>5.6000000000000001E-2</v>
      </c>
      <c r="C41" s="1769"/>
      <c r="D41" s="1586"/>
      <c r="E41" s="2279"/>
      <c r="F41" s="2278"/>
      <c r="G41" s="2278"/>
      <c r="H41" s="2278"/>
      <c r="I41" s="2278"/>
      <c r="J41" s="2278"/>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1" t="s">
        <v>2053</v>
      </c>
      <c r="B42" s="126">
        <v>0.05</v>
      </c>
      <c r="C42" s="2332">
        <f>IF(B2&lt;DATE(2016,5,1),0,B42)</f>
        <v>0.05</v>
      </c>
      <c r="D42" s="2279"/>
      <c r="E42" s="2278"/>
      <c r="F42" s="2278"/>
      <c r="G42" s="2278"/>
      <c r="H42" s="2278"/>
      <c r="I42" s="2278"/>
      <c r="J42" s="2278"/>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1" t="s">
        <v>2054</v>
      </c>
      <c r="B43" s="127">
        <f>B42*(B44+B45+B46)+B47</f>
        <v>6.000000000000001E-3</v>
      </c>
      <c r="C43" s="1769"/>
      <c r="D43" s="2279"/>
      <c r="E43" s="2278"/>
      <c r="F43" s="2278"/>
      <c r="G43" s="2278"/>
      <c r="H43" s="2278"/>
      <c r="I43" s="2278"/>
      <c r="J43" s="2278"/>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3" t="s">
        <v>2055</v>
      </c>
      <c r="B44" s="128">
        <v>7.0000000000000007E-2</v>
      </c>
      <c r="C44" s="1768" t="s">
        <v>2056</v>
      </c>
      <c r="D44" s="2279"/>
      <c r="E44" s="2278"/>
      <c r="F44" s="2278"/>
      <c r="G44" s="2278"/>
      <c r="H44" s="2278"/>
      <c r="I44" s="2278"/>
      <c r="J44" s="2278"/>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3" t="s">
        <v>2057</v>
      </c>
      <c r="B45" s="126">
        <v>0.03</v>
      </c>
      <c r="C45" s="1769" t="s">
        <v>2058</v>
      </c>
      <c r="D45" s="2279"/>
      <c r="E45" s="2278"/>
      <c r="F45" s="2278"/>
      <c r="G45" s="2278"/>
      <c r="H45" s="2278"/>
      <c r="I45" s="2278"/>
      <c r="J45" s="2278"/>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3" t="s">
        <v>2059</v>
      </c>
      <c r="B46" s="126">
        <v>0.02</v>
      </c>
      <c r="C46" s="1769" t="s">
        <v>2060</v>
      </c>
      <c r="D46" s="2279"/>
      <c r="E46" s="2278"/>
      <c r="F46" s="2278"/>
      <c r="G46" s="2278"/>
      <c r="H46" s="2278"/>
      <c r="I46" s="2278"/>
      <c r="J46" s="2278"/>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4" t="s">
        <v>2061</v>
      </c>
      <c r="B47" s="129">
        <v>0</v>
      </c>
      <c r="C47" s="1769" t="s">
        <v>2062</v>
      </c>
      <c r="D47" s="2279"/>
      <c r="E47" s="2278"/>
      <c r="F47" s="2278"/>
      <c r="G47" s="2278"/>
      <c r="H47" s="2278"/>
      <c r="I47" s="2278"/>
      <c r="J47" s="2278"/>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5" t="s">
        <v>2063</v>
      </c>
      <c r="B48" s="130">
        <v>0.03</v>
      </c>
      <c r="C48" s="1776" t="s">
        <v>2064</v>
      </c>
      <c r="D48" s="2279"/>
      <c r="E48" s="2278"/>
      <c r="F48" s="2278"/>
      <c r="G48" s="2278"/>
      <c r="H48" s="2278"/>
      <c r="I48" s="2278"/>
      <c r="J48" s="2278"/>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0" t="s">
        <v>2065</v>
      </c>
      <c r="B49" s="126">
        <v>5.0000000000000001E-4</v>
      </c>
      <c r="C49" s="1776" t="s">
        <v>2066</v>
      </c>
      <c r="D49" s="2279"/>
      <c r="E49" s="2278"/>
      <c r="F49" s="2278"/>
      <c r="G49" s="2278"/>
      <c r="H49" s="2278"/>
      <c r="I49" s="2278"/>
      <c r="J49" s="2278"/>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6" t="s">
        <v>2067</v>
      </c>
      <c r="B50" s="131">
        <v>1.2E-2</v>
      </c>
      <c r="C50" s="1431"/>
      <c r="D50" s="2279"/>
      <c r="E50" s="2278"/>
      <c r="F50" s="2278"/>
      <c r="G50" s="2278"/>
      <c r="H50" s="2278"/>
      <c r="I50" s="2278"/>
      <c r="J50" s="2278"/>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8" t="s">
        <v>2068</v>
      </c>
      <c r="B51" s="132">
        <v>0.12</v>
      </c>
      <c r="C51" s="1431"/>
      <c r="D51" s="2279"/>
      <c r="E51" s="2278"/>
      <c r="F51" s="2278"/>
      <c r="G51" s="2278"/>
      <c r="H51" s="2278"/>
      <c r="I51" s="2278"/>
      <c r="J51" s="2278"/>
      <c r="K51" s="169"/>
      <c r="L51" s="169"/>
      <c r="M51" s="1586"/>
      <c r="N51" s="1586"/>
      <c r="O51" s="1586"/>
      <c r="P51" s="1586"/>
      <c r="Q51" s="1586"/>
      <c r="R51" s="1586"/>
      <c r="S51" s="1586"/>
      <c r="T51" s="1586"/>
      <c r="U51" s="1586"/>
      <c r="V51" s="1586">
        <v>22</v>
      </c>
      <c r="W51" s="1586"/>
      <c r="X51" s="1586"/>
      <c r="Y51" s="1586"/>
      <c r="Z51" s="1586"/>
      <c r="AA51" s="1586"/>
      <c r="AB51" s="1586"/>
      <c r="AC51" s="1586"/>
      <c r="AD51" s="1586"/>
      <c r="AE51" s="1586"/>
      <c r="AF51" s="1586"/>
      <c r="AG51" s="1586"/>
      <c r="AH51" s="1586"/>
      <c r="AI51" s="1586"/>
      <c r="AJ51" s="1586"/>
      <c r="AK51" s="1586"/>
      <c r="AL51" s="1586"/>
      <c r="AM51" s="1586"/>
    </row>
    <row r="52" spans="1:39" ht="14.25">
      <c r="A52" s="2336" t="s">
        <v>2069</v>
      </c>
      <c r="B52" s="133">
        <f>SUMIF(A54:A63,B53,B54:B63)</f>
        <v>24</v>
      </c>
      <c r="C52" s="1431"/>
      <c r="D52" s="2279"/>
      <c r="E52" s="2278"/>
      <c r="F52" s="2278"/>
      <c r="G52" s="2278"/>
      <c r="H52" s="2278"/>
      <c r="I52" s="2278"/>
      <c r="J52" s="2278"/>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6" t="s">
        <v>2070</v>
      </c>
      <c r="B53" s="2337" t="s">
        <v>269</v>
      </c>
      <c r="C53" s="1431" t="s">
        <v>2071</v>
      </c>
      <c r="D53" s="2338" t="s">
        <v>2072</v>
      </c>
      <c r="E53" s="2278"/>
      <c r="F53" s="2278"/>
      <c r="G53" s="2278"/>
      <c r="H53" s="2278"/>
      <c r="I53" s="2278"/>
      <c r="J53" s="2278"/>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9" t="s">
        <v>2073</v>
      </c>
      <c r="B54" s="3089">
        <v>30</v>
      </c>
      <c r="C54" s="1431">
        <v>30</v>
      </c>
      <c r="D54" s="2279"/>
      <c r="E54" s="2278"/>
      <c r="F54" s="2278"/>
      <c r="G54" s="2278"/>
      <c r="H54" s="2278"/>
      <c r="I54" s="2278"/>
      <c r="J54" s="2278"/>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9" t="s">
        <v>2074</v>
      </c>
      <c r="B55" s="84">
        <v>24</v>
      </c>
      <c r="C55" s="1431">
        <v>24</v>
      </c>
      <c r="D55" s="2279"/>
      <c r="E55" s="2278"/>
      <c r="F55" s="2278"/>
      <c r="G55" s="2278"/>
      <c r="H55" s="2278"/>
      <c r="I55" s="2340"/>
      <c r="J55" s="2278"/>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9" t="s">
        <v>2075</v>
      </c>
      <c r="B56" s="84"/>
      <c r="C56" s="1431">
        <v>18</v>
      </c>
      <c r="D56" s="2279"/>
      <c r="E56" s="2278"/>
      <c r="F56" s="2278"/>
      <c r="G56" s="2278"/>
      <c r="H56" s="2278"/>
      <c r="I56" s="2278"/>
      <c r="J56" s="2278"/>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9" t="s">
        <v>2076</v>
      </c>
      <c r="B57" s="84"/>
      <c r="C57" s="1431">
        <v>12</v>
      </c>
      <c r="D57" s="2279"/>
      <c r="E57" s="2278"/>
      <c r="F57" s="2278"/>
      <c r="G57" s="2278"/>
      <c r="H57" s="2278"/>
      <c r="I57" s="2278"/>
      <c r="J57" s="2278"/>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9" t="s">
        <v>2077</v>
      </c>
      <c r="B58" s="84"/>
      <c r="C58" s="1431">
        <v>3</v>
      </c>
      <c r="D58" s="2279"/>
      <c r="E58" s="2278"/>
      <c r="F58" s="2278"/>
      <c r="G58" s="2278"/>
      <c r="H58" s="2278"/>
      <c r="I58" s="2278"/>
      <c r="J58" s="2278"/>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9" t="s">
        <v>2078</v>
      </c>
      <c r="B59" s="84"/>
      <c r="C59" s="1431">
        <v>1.5</v>
      </c>
      <c r="D59" s="2279"/>
      <c r="E59" s="2278"/>
      <c r="F59" s="2278"/>
      <c r="G59" s="2278"/>
      <c r="H59" s="2278"/>
      <c r="I59" s="2278"/>
      <c r="J59" s="2278"/>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9" t="s">
        <v>2079</v>
      </c>
      <c r="B60" s="84"/>
      <c r="C60" s="2278"/>
      <c r="D60" s="2279"/>
      <c r="E60" s="2278"/>
      <c r="F60" s="2278"/>
      <c r="G60" s="2278"/>
      <c r="H60" s="2278"/>
      <c r="I60" s="2278"/>
      <c r="J60" s="2278"/>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9" t="s">
        <v>2080</v>
      </c>
      <c r="B61" s="84"/>
      <c r="C61" s="2278"/>
      <c r="D61" s="2279"/>
      <c r="E61" s="2278"/>
      <c r="F61" s="2278"/>
      <c r="G61" s="2278"/>
      <c r="H61" s="2278"/>
      <c r="I61" s="2278"/>
      <c r="J61" s="2278"/>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9" t="s">
        <v>2081</v>
      </c>
      <c r="B62" s="84"/>
      <c r="C62" s="2278"/>
      <c r="D62" s="2279"/>
      <c r="E62" s="2278"/>
      <c r="F62" s="2278"/>
      <c r="G62" s="2278"/>
      <c r="H62" s="2278"/>
      <c r="I62" s="2278"/>
      <c r="J62" s="2278"/>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1" t="s">
        <v>2082</v>
      </c>
      <c r="B63" s="134"/>
      <c r="C63" s="2278"/>
      <c r="D63" s="2279"/>
      <c r="E63" s="2278"/>
      <c r="F63" s="2278"/>
      <c r="G63" s="2278"/>
      <c r="H63" s="2278"/>
      <c r="I63" s="2278"/>
      <c r="J63" s="2278"/>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2"/>
      <c r="D64" s="2343"/>
      <c r="K64" s="799"/>
      <c r="L64" s="799"/>
    </row>
    <row r="65" spans="1:12" s="968" customFormat="1">
      <c r="A65" s="2342"/>
      <c r="D65" s="2343"/>
      <c r="K65" s="799"/>
      <c r="L65" s="799"/>
    </row>
    <row r="66" spans="1:12" s="968" customFormat="1">
      <c r="A66" s="2342"/>
      <c r="D66" s="2343"/>
      <c r="K66" s="799"/>
      <c r="L66" s="799"/>
    </row>
    <row r="67" spans="1:12" s="968" customFormat="1">
      <c r="A67" s="2342"/>
      <c r="D67" s="2343"/>
      <c r="K67" s="799"/>
      <c r="L67" s="799"/>
    </row>
    <row r="68" spans="1:12" s="968" customFormat="1">
      <c r="A68" s="2342"/>
      <c r="D68" s="2343"/>
      <c r="K68" s="799"/>
      <c r="L68" s="799"/>
    </row>
    <row r="69" spans="1:12" s="968" customFormat="1">
      <c r="A69" s="2342"/>
      <c r="D69" s="2343"/>
      <c r="K69" s="799"/>
      <c r="L69" s="799"/>
    </row>
    <row r="70" spans="1:12" s="968" customFormat="1">
      <c r="A70" s="2342"/>
      <c r="D70" s="2343"/>
      <c r="K70" s="799"/>
      <c r="L70" s="799"/>
    </row>
    <row r="71" spans="1:12" s="968" customFormat="1">
      <c r="A71" s="2342"/>
      <c r="D71" s="2343"/>
      <c r="K71" s="799"/>
      <c r="L71" s="799"/>
    </row>
    <row r="72" spans="1:12" s="968" customFormat="1">
      <c r="A72" s="2342"/>
      <c r="D72" s="2343"/>
      <c r="K72" s="799"/>
      <c r="L72" s="799"/>
    </row>
    <row r="73" spans="1:12" s="968" customFormat="1">
      <c r="A73" s="2342"/>
      <c r="D73" s="2343"/>
      <c r="K73" s="799"/>
      <c r="L73" s="799"/>
    </row>
    <row r="74" spans="1:12" s="968" customFormat="1">
      <c r="A74" s="2342"/>
      <c r="D74" s="2343"/>
      <c r="K74" s="799"/>
      <c r="L74" s="799"/>
    </row>
    <row r="75" spans="1:12" s="968" customFormat="1">
      <c r="A75" s="2342"/>
      <c r="D75" s="2343"/>
      <c r="K75" s="799"/>
      <c r="L75" s="799"/>
    </row>
    <row r="76" spans="1:12" s="968" customFormat="1">
      <c r="A76" s="2342"/>
      <c r="D76" s="2343"/>
      <c r="K76" s="799"/>
      <c r="L76" s="799"/>
    </row>
    <row r="77" spans="1:12" s="968" customFormat="1">
      <c r="A77" s="2342"/>
      <c r="D77" s="2343"/>
      <c r="K77" s="799"/>
      <c r="L77" s="799"/>
    </row>
    <row r="78" spans="1:12" s="968" customFormat="1">
      <c r="A78" s="2342"/>
      <c r="D78" s="2343"/>
      <c r="K78" s="799"/>
      <c r="L78" s="799"/>
    </row>
    <row r="79" spans="1:12" s="968" customFormat="1">
      <c r="A79" s="2342"/>
      <c r="D79" s="2343"/>
      <c r="K79" s="799"/>
      <c r="L79" s="799"/>
    </row>
    <row r="80" spans="1:12" s="968" customFormat="1">
      <c r="A80" s="2342"/>
      <c r="D80" s="2343"/>
      <c r="K80" s="799"/>
      <c r="L80" s="799"/>
    </row>
    <row r="81" spans="1:12" s="968" customFormat="1">
      <c r="A81" s="2342"/>
      <c r="D81" s="2343"/>
      <c r="K81" s="799"/>
      <c r="L81" s="799"/>
    </row>
    <row r="82" spans="1:12" s="968" customFormat="1">
      <c r="A82" s="2342"/>
      <c r="D82" s="2343"/>
      <c r="K82" s="799"/>
      <c r="L82" s="799"/>
    </row>
    <row r="83" spans="1:12" s="968" customFormat="1">
      <c r="A83" s="2342"/>
      <c r="D83" s="2343"/>
      <c r="K83" s="799"/>
      <c r="L83" s="799"/>
    </row>
    <row r="84" spans="1:12" s="968" customFormat="1">
      <c r="A84" s="2342"/>
      <c r="D84" s="2343"/>
      <c r="K84" s="799"/>
      <c r="L84" s="799"/>
    </row>
    <row r="85" spans="1:12" s="968" customFormat="1">
      <c r="A85" s="2342"/>
      <c r="D85" s="2343"/>
      <c r="K85" s="799"/>
      <c r="L85" s="799"/>
    </row>
    <row r="86" spans="1:12" s="968" customFormat="1">
      <c r="A86" s="2342"/>
      <c r="D86" s="2343"/>
      <c r="K86" s="799"/>
      <c r="L86" s="799"/>
    </row>
    <row r="87" spans="1:12" s="968" customFormat="1">
      <c r="A87" s="2342"/>
      <c r="D87" s="2343"/>
      <c r="K87" s="799"/>
      <c r="L87" s="799"/>
    </row>
    <row r="88" spans="1:12" s="968" customFormat="1">
      <c r="A88" s="2342"/>
      <c r="D88" s="2343"/>
      <c r="K88" s="799"/>
      <c r="L88" s="799"/>
    </row>
    <row r="89" spans="1:12" s="968" customFormat="1">
      <c r="A89" s="2342"/>
      <c r="D89" s="2343"/>
      <c r="K89" s="799"/>
      <c r="L89" s="799"/>
    </row>
    <row r="90" spans="1:12" s="968" customFormat="1">
      <c r="A90" s="2342"/>
      <c r="D90" s="2343"/>
      <c r="K90" s="799"/>
      <c r="L90" s="799"/>
    </row>
    <row r="91" spans="1:12" s="968" customFormat="1">
      <c r="A91" s="2342"/>
      <c r="D91" s="2343"/>
      <c r="K91" s="799"/>
      <c r="L91" s="799"/>
    </row>
    <row r="92" spans="1:12" s="968" customFormat="1">
      <c r="A92" s="2342"/>
      <c r="D92" s="2343"/>
      <c r="K92" s="799"/>
      <c r="L92" s="799"/>
    </row>
    <row r="93" spans="1:12" s="968" customFormat="1">
      <c r="A93" s="2342"/>
      <c r="D93" s="2343"/>
      <c r="K93" s="799"/>
      <c r="L93" s="799"/>
    </row>
    <row r="94" spans="1:12" s="968" customFormat="1">
      <c r="A94" s="2342"/>
      <c r="D94" s="2343"/>
      <c r="K94" s="799"/>
      <c r="L94" s="799"/>
    </row>
    <row r="95" spans="1:12" s="968" customFormat="1">
      <c r="A95" s="2342"/>
      <c r="D95" s="2343"/>
      <c r="K95" s="799"/>
      <c r="L95" s="799"/>
    </row>
    <row r="96" spans="1:12" s="968" customFormat="1">
      <c r="A96" s="2342"/>
      <c r="D96" s="2343"/>
      <c r="K96" s="799"/>
      <c r="L96" s="799"/>
    </row>
    <row r="97" spans="1:12" s="968" customFormat="1">
      <c r="A97" s="2342"/>
      <c r="D97" s="2343"/>
      <c r="K97" s="799"/>
      <c r="L97" s="799"/>
    </row>
    <row r="98" spans="1:12" s="968" customFormat="1">
      <c r="A98" s="2342"/>
      <c r="D98" s="2343"/>
      <c r="K98" s="799"/>
      <c r="L98" s="799"/>
    </row>
    <row r="99" spans="1:12" s="968" customFormat="1">
      <c r="A99" s="2342"/>
      <c r="D99" s="2343"/>
      <c r="K99" s="799"/>
      <c r="L99" s="799"/>
    </row>
    <row r="100" spans="1:12" s="968" customFormat="1">
      <c r="A100" s="2342"/>
      <c r="D100" s="2343"/>
      <c r="K100" s="799"/>
      <c r="L100" s="799"/>
    </row>
    <row r="101" spans="1:12" s="968" customFormat="1">
      <c r="A101" s="2342"/>
      <c r="D101" s="2343"/>
      <c r="K101" s="799"/>
      <c r="L101" s="799"/>
    </row>
    <row r="102" spans="1:12" s="968" customFormat="1">
      <c r="A102" s="2342"/>
      <c r="D102" s="2343"/>
      <c r="K102" s="799"/>
      <c r="L102" s="799"/>
    </row>
    <row r="103" spans="1:12" s="968" customFormat="1">
      <c r="A103" s="2342"/>
      <c r="D103" s="2343"/>
      <c r="K103" s="799"/>
      <c r="L103" s="799"/>
    </row>
    <row r="104" spans="1:12" s="968" customFormat="1">
      <c r="A104" s="2342"/>
      <c r="D104" s="2343"/>
      <c r="K104" s="799"/>
      <c r="L104" s="799"/>
    </row>
    <row r="105" spans="1:12" s="968" customFormat="1">
      <c r="A105" s="2342"/>
      <c r="D105" s="2343"/>
      <c r="K105" s="799"/>
      <c r="L105" s="799"/>
    </row>
    <row r="106" spans="1:12" s="968" customFormat="1">
      <c r="A106" s="2342"/>
      <c r="D106" s="2343"/>
      <c r="K106" s="799"/>
      <c r="L106" s="799"/>
    </row>
    <row r="107" spans="1:12" s="968" customFormat="1">
      <c r="A107" s="2342"/>
      <c r="D107" s="2343"/>
      <c r="K107" s="799"/>
      <c r="L107" s="799"/>
    </row>
    <row r="108" spans="1:12" s="968" customFormat="1">
      <c r="A108" s="2342"/>
      <c r="D108" s="2343"/>
      <c r="K108" s="799"/>
      <c r="L108" s="799"/>
    </row>
    <row r="109" spans="1:12" s="968" customFormat="1">
      <c r="A109" s="2342"/>
      <c r="D109" s="2343"/>
      <c r="K109" s="799"/>
      <c r="L109" s="799"/>
    </row>
    <row r="110" spans="1:12" s="968" customFormat="1">
      <c r="A110" s="2342"/>
      <c r="D110" s="2343"/>
      <c r="K110" s="799"/>
      <c r="L110" s="799"/>
    </row>
    <row r="111" spans="1:12" s="968" customFormat="1">
      <c r="A111" s="2342"/>
      <c r="D111" s="2343"/>
      <c r="K111" s="799"/>
      <c r="L111" s="799"/>
    </row>
    <row r="112" spans="1:12" s="968" customFormat="1">
      <c r="A112" s="2342"/>
      <c r="D112" s="2343"/>
      <c r="K112" s="799"/>
      <c r="L112" s="799"/>
    </row>
    <row r="113" spans="1:12" s="968" customFormat="1">
      <c r="A113" s="2342"/>
      <c r="D113" s="2343"/>
      <c r="K113" s="799"/>
      <c r="L113" s="799"/>
    </row>
    <row r="114" spans="1:12" s="968" customFormat="1">
      <c r="A114" s="2342"/>
      <c r="D114" s="2343"/>
      <c r="K114" s="799"/>
      <c r="L114" s="799"/>
    </row>
    <row r="115" spans="1:12" s="968" customFormat="1">
      <c r="A115" s="2342"/>
      <c r="D115" s="2343"/>
      <c r="K115" s="799"/>
      <c r="L115" s="799"/>
    </row>
    <row r="116" spans="1:12" s="968" customFormat="1">
      <c r="A116" s="2342"/>
      <c r="D116" s="2343"/>
      <c r="K116" s="799"/>
      <c r="L116" s="799"/>
    </row>
    <row r="117" spans="1:12" s="968" customFormat="1">
      <c r="A117" s="2342"/>
      <c r="D117" s="2343"/>
      <c r="K117" s="799"/>
      <c r="L117" s="799"/>
    </row>
    <row r="118" spans="1:12" s="968" customFormat="1">
      <c r="A118" s="2342"/>
      <c r="D118" s="2343"/>
      <c r="K118" s="799"/>
      <c r="L118" s="799"/>
    </row>
    <row r="119" spans="1:12" s="968" customFormat="1">
      <c r="A119" s="2342"/>
      <c r="D119" s="2343"/>
      <c r="K119" s="799"/>
      <c r="L119" s="799"/>
    </row>
    <row r="120" spans="1:12" s="968" customFormat="1">
      <c r="A120" s="2342"/>
      <c r="D120" s="2343"/>
      <c r="K120" s="799"/>
      <c r="L120" s="799"/>
    </row>
    <row r="121" spans="1:12" s="968" customFormat="1">
      <c r="A121" s="2342"/>
      <c r="D121" s="2343"/>
      <c r="K121" s="799"/>
      <c r="L121" s="799"/>
    </row>
    <row r="122" spans="1:12" s="968" customFormat="1">
      <c r="A122" s="2342"/>
      <c r="D122" s="2343"/>
      <c r="K122" s="799"/>
      <c r="L122" s="799"/>
    </row>
    <row r="123" spans="1:12" s="968" customFormat="1">
      <c r="A123" s="2342"/>
      <c r="D123" s="2343"/>
      <c r="K123" s="799"/>
      <c r="L123" s="799"/>
    </row>
    <row r="124" spans="1:12" s="968" customFormat="1">
      <c r="A124" s="2342"/>
      <c r="D124" s="2343"/>
      <c r="K124" s="799"/>
      <c r="L124" s="799"/>
    </row>
    <row r="125" spans="1:12" s="968" customFormat="1">
      <c r="A125" s="2342"/>
      <c r="D125" s="2343"/>
      <c r="K125" s="799"/>
      <c r="L125" s="799"/>
    </row>
    <row r="126" spans="1:12" s="968" customFormat="1">
      <c r="A126" s="2342"/>
      <c r="D126" s="2343"/>
      <c r="K126" s="799"/>
      <c r="L126" s="799"/>
    </row>
    <row r="127" spans="1:12" s="968" customFormat="1">
      <c r="A127" s="2342"/>
      <c r="D127" s="2343"/>
      <c r="K127" s="799"/>
      <c r="L127" s="799"/>
    </row>
    <row r="128" spans="1:12" s="968" customFormat="1">
      <c r="A128" s="2342"/>
      <c r="D128" s="2343"/>
      <c r="K128" s="799"/>
      <c r="L128" s="799"/>
    </row>
    <row r="129" spans="1:12" s="968" customFormat="1">
      <c r="A129" s="2342"/>
      <c r="D129" s="2343"/>
      <c r="K129" s="799"/>
      <c r="L129" s="799"/>
    </row>
    <row r="130" spans="1:12" s="968" customFormat="1">
      <c r="A130" s="2342"/>
      <c r="D130" s="2343"/>
      <c r="K130" s="799"/>
      <c r="L130" s="799"/>
    </row>
    <row r="131" spans="1:12" s="968" customFormat="1">
      <c r="A131" s="2342"/>
      <c r="D131" s="2343"/>
      <c r="K131" s="799"/>
      <c r="L131" s="799"/>
    </row>
    <row r="132" spans="1:12" s="968" customFormat="1">
      <c r="A132" s="2342"/>
      <c r="D132" s="2343"/>
      <c r="K132" s="799"/>
      <c r="L132" s="799"/>
    </row>
    <row r="133" spans="1:12" s="968"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187" t="s">
        <v>2083</v>
      </c>
      <c r="B1" s="3188"/>
      <c r="C1" s="3188"/>
      <c r="D1" s="3188"/>
      <c r="E1" s="3188"/>
      <c r="F1" s="3188"/>
      <c r="G1" s="318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6" t="s">
        <v>2086</v>
      </c>
      <c r="B3" s="1272" t="s">
        <v>2087</v>
      </c>
      <c r="C3" s="2371" t="s">
        <v>2088</v>
      </c>
      <c r="D3" s="2372"/>
      <c r="E3" s="432" t="s">
        <v>2086</v>
      </c>
      <c r="F3" s="2373" t="s">
        <v>2089</v>
      </c>
      <c r="G3" s="2374" t="s">
        <v>2090</v>
      </c>
      <c r="H3" s="2369"/>
      <c r="I3" s="2369"/>
      <c r="J3" s="2369"/>
      <c r="K3" s="2369"/>
      <c r="L3" s="2369"/>
      <c r="M3" s="2369"/>
      <c r="N3" s="2369"/>
      <c r="O3" s="2369"/>
      <c r="P3" s="2369"/>
      <c r="Q3" s="2369"/>
      <c r="R3" s="2369"/>
    </row>
    <row r="4" spans="1:29" ht="41.25">
      <c r="A4" s="432"/>
      <c r="B4" s="1800" t="s">
        <v>2091</v>
      </c>
      <c r="C4" s="2375" t="s">
        <v>2092</v>
      </c>
      <c r="D4" s="2372"/>
      <c r="E4" s="2376"/>
      <c r="F4" s="42" t="s">
        <v>2093</v>
      </c>
      <c r="G4" s="2377" t="s">
        <v>2094</v>
      </c>
      <c r="H4" s="2369"/>
      <c r="I4" s="2369"/>
      <c r="J4" s="2369"/>
      <c r="K4" s="2369"/>
      <c r="L4" s="2369"/>
      <c r="M4" s="2369"/>
      <c r="N4" s="2369"/>
      <c r="O4" s="2369"/>
      <c r="P4" s="2369"/>
      <c r="Q4" s="2369"/>
      <c r="R4" s="2369"/>
    </row>
    <row r="5" spans="1:29" ht="41.25">
      <c r="A5" s="432"/>
      <c r="B5" s="1800" t="s">
        <v>2095</v>
      </c>
      <c r="C5" s="2375" t="s">
        <v>2096</v>
      </c>
      <c r="D5" s="2372"/>
      <c r="E5" s="2376"/>
      <c r="F5" s="1800" t="s">
        <v>2097</v>
      </c>
      <c r="G5" s="2377" t="s">
        <v>2098</v>
      </c>
      <c r="H5" s="2369"/>
      <c r="I5" s="2369"/>
      <c r="J5" s="2369"/>
      <c r="K5" s="2369"/>
      <c r="L5" s="2369"/>
      <c r="M5" s="2369"/>
      <c r="N5" s="2369"/>
      <c r="O5" s="2369"/>
      <c r="P5" s="2369"/>
      <c r="Q5" s="2369"/>
      <c r="R5" s="2369"/>
    </row>
    <row r="6" spans="1:29" ht="54">
      <c r="A6" s="432"/>
      <c r="B6" s="1800" t="s">
        <v>2099</v>
      </c>
      <c r="C6" s="2377" t="s">
        <v>2094</v>
      </c>
      <c r="D6" s="2372"/>
      <c r="E6" s="2376"/>
      <c r="F6" s="1800" t="s">
        <v>2100</v>
      </c>
      <c r="G6" s="2377" t="s">
        <v>2101</v>
      </c>
      <c r="H6" s="2369"/>
      <c r="I6" s="2369"/>
      <c r="J6" s="2369"/>
      <c r="K6" s="2369"/>
      <c r="L6" s="2369"/>
      <c r="M6" s="2369"/>
      <c r="N6" s="2369"/>
      <c r="O6" s="2369"/>
      <c r="P6" s="2369"/>
      <c r="Q6" s="2369"/>
      <c r="R6" s="2369"/>
    </row>
    <row r="7" spans="1:29" ht="41.25" thickBot="1">
      <c r="A7" s="432"/>
      <c r="B7" s="1800" t="s">
        <v>2097</v>
      </c>
      <c r="C7" s="2377" t="s">
        <v>2098</v>
      </c>
      <c r="D7" s="2378"/>
      <c r="E7" s="2379"/>
      <c r="F7" s="2380" t="s">
        <v>2102</v>
      </c>
      <c r="G7" s="2381" t="s">
        <v>2103</v>
      </c>
      <c r="H7" s="2369"/>
      <c r="I7" s="2369"/>
      <c r="J7" s="2369"/>
      <c r="K7" s="2369"/>
      <c r="L7" s="2369"/>
      <c r="M7" s="2369"/>
      <c r="N7" s="2369"/>
      <c r="O7" s="2369"/>
      <c r="P7" s="2369"/>
      <c r="Q7" s="2369"/>
      <c r="R7" s="2369"/>
    </row>
    <row r="8" spans="1:29" ht="27">
      <c r="A8" s="432"/>
      <c r="B8" s="1800" t="s">
        <v>2100</v>
      </c>
      <c r="C8" s="2377" t="s">
        <v>2101</v>
      </c>
      <c r="D8" s="2378"/>
      <c r="E8" s="2378"/>
      <c r="F8" s="1137"/>
      <c r="G8" s="1137"/>
      <c r="H8" s="2369"/>
      <c r="I8" s="2369"/>
      <c r="J8" s="2369"/>
      <c r="K8" s="2369"/>
      <c r="L8" s="2369"/>
      <c r="M8" s="2369"/>
      <c r="N8" s="2369"/>
      <c r="O8" s="2369"/>
      <c r="P8" s="2369"/>
      <c r="Q8" s="2369"/>
      <c r="R8" s="2369"/>
    </row>
    <row r="9" spans="1:29" ht="27">
      <c r="A9" s="432"/>
      <c r="B9" s="1800" t="s">
        <v>2104</v>
      </c>
      <c r="C9" s="2375" t="s">
        <v>2105</v>
      </c>
      <c r="D9" s="2372"/>
      <c r="E9" s="2378"/>
      <c r="F9" s="1137"/>
      <c r="G9" s="1137"/>
      <c r="H9" s="2369"/>
      <c r="I9" s="2369"/>
      <c r="J9" s="2369"/>
      <c r="K9" s="2369"/>
      <c r="L9" s="2369"/>
      <c r="M9" s="2369"/>
      <c r="N9" s="2369"/>
      <c r="O9" s="2369"/>
      <c r="P9" s="2369"/>
      <c r="Q9" s="2369"/>
      <c r="R9" s="2369"/>
    </row>
    <row r="10" spans="1:29" s="117" customFormat="1" ht="15.75" thickBot="1">
      <c r="A10" s="2382"/>
      <c r="B10" s="2383" t="s">
        <v>2106</v>
      </c>
      <c r="C10" s="2384"/>
      <c r="D10" s="2372"/>
      <c r="E10" s="2372"/>
      <c r="F10" s="1137"/>
      <c r="G10" s="1137"/>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5"/>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5"/>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1" t="s">
        <v>2087</v>
      </c>
      <c r="C15" s="2404" t="str">
        <f>C3</f>
        <v>估价对象周边居住用地比例、居住小区规模和社区发展完善程度，综合评价居住社区成熟度一般</v>
      </c>
      <c r="D15" s="2372"/>
      <c r="E15" s="2405" t="s">
        <v>2111</v>
      </c>
      <c r="F15" s="1271" t="s">
        <v>2112</v>
      </c>
      <c r="G15" s="135" t="str">
        <f>G3</f>
        <v>估价对象位于XX开发区，园区建设成熟度XX，产业集聚程度XX</v>
      </c>
    </row>
    <row r="16" spans="1:29" ht="42.75">
      <c r="A16" s="646"/>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6"/>
      <c r="B17" s="2406" t="s">
        <v>2095</v>
      </c>
      <c r="C17" s="2407" t="str">
        <f>C5</f>
        <v>估价对象位于XX商圈，周边办公楼项目较多，入驻率高，办公集聚程度较好</v>
      </c>
      <c r="D17" s="2378"/>
      <c r="E17" s="2408"/>
      <c r="F17" s="2409" t="s">
        <v>2113</v>
      </c>
      <c r="G17" s="1574"/>
    </row>
    <row r="18" spans="1:18" ht="57">
      <c r="A18" s="646"/>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6"/>
      <c r="B19" s="2409" t="s">
        <v>2114</v>
      </c>
      <c r="C19" s="1574"/>
      <c r="D19" s="2372"/>
      <c r="E19" s="2408"/>
      <c r="F19" s="1800" t="s">
        <v>2097</v>
      </c>
      <c r="G19" s="136" t="str">
        <f>G5</f>
        <v>估价对象所在区域公共配套设施齐备情况</v>
      </c>
    </row>
    <row r="20" spans="1:18" ht="28.5">
      <c r="A20" s="646"/>
      <c r="B20" s="2409" t="s">
        <v>2115</v>
      </c>
      <c r="C20" s="2407" t="str">
        <f>C9</f>
        <v>区域自然环境：；人文环境；综合评价环境状况一般</v>
      </c>
      <c r="D20" s="2378"/>
      <c r="E20" s="2408"/>
      <c r="F20" s="1800" t="s">
        <v>2116</v>
      </c>
      <c r="G20" s="136" t="str">
        <f>G6</f>
        <v>估价对象所在区域基础设施水平</v>
      </c>
    </row>
    <row r="21" spans="1:18" ht="28.5">
      <c r="A21" s="646"/>
      <c r="B21" s="1800" t="s">
        <v>2097</v>
      </c>
      <c r="C21" s="136" t="str">
        <f>C7</f>
        <v>估价对象所在区域公共配套设施齐备情况</v>
      </c>
      <c r="D21" s="2372"/>
      <c r="E21" s="2408"/>
      <c r="F21" s="2409" t="s">
        <v>2117</v>
      </c>
      <c r="G21" s="2410"/>
    </row>
    <row r="22" spans="1:18" ht="13.5" customHeight="1">
      <c r="A22" s="646"/>
      <c r="B22" s="1800" t="s">
        <v>2100</v>
      </c>
      <c r="C22" s="136" t="str">
        <f>C8</f>
        <v>估价对象所在区域基础设施水平</v>
      </c>
      <c r="D22" s="2372"/>
      <c r="E22" s="2408"/>
      <c r="F22" s="2409" t="s">
        <v>2106</v>
      </c>
      <c r="G22" s="1574"/>
    </row>
    <row r="23" spans="1:18" s="2369" customFormat="1" ht="15.75" thickBot="1">
      <c r="A23" s="646"/>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41231.079999999994</v>
      </c>
      <c r="C1" s="1747"/>
      <c r="D1" s="1747"/>
      <c r="E1" s="1747"/>
      <c r="F1" s="1747"/>
      <c r="G1" s="1745"/>
    </row>
    <row r="2" spans="1:10" ht="16.5">
      <c r="A2" s="1748" t="s">
        <v>1354</v>
      </c>
      <c r="B2" s="1748">
        <f>SUM(C14:C23)</f>
        <v>6064.26</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141148</v>
      </c>
      <c r="C5" s="1748">
        <f ca="1">ROUND(B5*10000/$B$1,0)</f>
        <v>34233</v>
      </c>
      <c r="D5" s="1748">
        <f ca="1">ROUND(B5*10000/$B$2,0)</f>
        <v>232754</v>
      </c>
      <c r="E5" s="1747"/>
      <c r="F5" s="1745"/>
      <c r="G5" s="1745"/>
    </row>
    <row r="6" spans="1:10" ht="16.5">
      <c r="A6" s="1748" t="s">
        <v>1357</v>
      </c>
      <c r="B6" s="1748">
        <f ca="1">SUM(G14:G23)</f>
        <v>141148</v>
      </c>
      <c r="C6" s="1748">
        <f ca="1">ROUND(B6*10000/$B$1,0)</f>
        <v>34233</v>
      </c>
      <c r="D6" s="1748">
        <f ca="1">ROUND(B6*10000/$B$2,0)</f>
        <v>232754</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41231.079999999994</v>
      </c>
      <c r="C14" s="1746">
        <f>'数据-汇总表'!D3</f>
        <v>6064.26</v>
      </c>
      <c r="D14" s="1746">
        <f ca="1">结果表!H118</f>
        <v>141148</v>
      </c>
      <c r="E14" s="1746">
        <f ca="1">ROUND(D14*10000/B14,0)</f>
        <v>34233</v>
      </c>
      <c r="F14" s="1746">
        <f ca="1">ROUND(D14*10000/C14,0)</f>
        <v>232754</v>
      </c>
      <c r="G14" s="1746">
        <f ca="1">结果表!D122</f>
        <v>141148</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I118" sqref="I118"/>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t="s">
        <v>3605</v>
      </c>
      <c r="D4" s="2429" t="s">
        <v>3606</v>
      </c>
      <c r="E4" s="3245" t="s">
        <v>2126</v>
      </c>
      <c r="F4" s="3258"/>
      <c r="G4" s="3258"/>
      <c r="H4" s="3258"/>
      <c r="I4" s="324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v>5</v>
      </c>
      <c r="D14" s="3254">
        <v>5</v>
      </c>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5</v>
      </c>
      <c r="D17" s="141">
        <f>SUM(D5:D16)</f>
        <v>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f ca="1">SUMIF(INDIRECT("'"&amp;C4&amp;"'"&amp;"!A:A"),结果表!B19,INDIRECT("'"&amp;C4&amp;"'"&amp;"!B:B"))</f>
        <v>136833</v>
      </c>
      <c r="D19" s="144">
        <f ca="1">SUMIF(INDIRECT("'"&amp;D4&amp;"'"&amp;"!A:A"),结果表!B19,INDIRECT("'"&amp;D4&amp;"'"&amp;"!B:B"))</f>
        <v>145463</v>
      </c>
      <c r="E19" s="2436" t="s">
        <v>2151</v>
      </c>
      <c r="F19" s="2437" t="s">
        <v>2150</v>
      </c>
      <c r="G19" s="145">
        <f ca="1">ROUND(C19*$C$18+D19*$D$18,0)</f>
        <v>141148</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f ca="1">SUMIF(INDIRECT("'"&amp;C4&amp;"'"&amp;"!A:A"),结果表!B20,INDIRECT("'"&amp;C4&amp;"'"&amp;"!B:B"))</f>
        <v>33187</v>
      </c>
      <c r="D20" s="147">
        <f ca="1">SUMIF(INDIRECT("'"&amp;D4&amp;"'"&amp;"!A:A"),结果表!B20,INDIRECT("'"&amp;D4&amp;"'"&amp;"!B:B"))</f>
        <v>35280</v>
      </c>
      <c r="E20" s="2439"/>
      <c r="F20" s="1251" t="s">
        <v>2154</v>
      </c>
      <c r="G20" s="148">
        <f ca="1">ROUND(C20*$C$18+D20*$D$18,0)</f>
        <v>34234</v>
      </c>
      <c r="H20" s="984" t="s">
        <v>2155</v>
      </c>
      <c r="I20" s="138"/>
    </row>
    <row r="21" spans="1:35" ht="15" customHeight="1" thickBot="1">
      <c r="A21" s="1004"/>
      <c r="B21" s="2440" t="s">
        <v>2156</v>
      </c>
      <c r="C21" s="790">
        <f ca="1">ROUND(C19*10000/L19,0)</f>
        <v>225638</v>
      </c>
      <c r="D21" s="791">
        <f ca="1">ROUND(D19*10000/L19,0)</f>
        <v>239869</v>
      </c>
      <c r="E21" s="1004"/>
      <c r="F21" s="2440" t="s">
        <v>2156</v>
      </c>
      <c r="G21" s="149">
        <f ca="1">ROUND(G19*10000/L19,0)</f>
        <v>232754</v>
      </c>
      <c r="H21" s="2441" t="s">
        <v>2155</v>
      </c>
      <c r="I21" s="138"/>
    </row>
    <row r="22" spans="1:35" ht="15" thickBot="1">
      <c r="A22" s="2282" t="s">
        <v>2157</v>
      </c>
      <c r="B22" s="2442"/>
      <c r="C22" s="2443"/>
      <c r="D22" s="792">
        <f ca="1">IF(C19&lt;D19,D19/C19-1,C19/D19-1)</f>
        <v>6.3069581168285538E-2</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f ca="1">IF(D32="总价",G19-C24,G20-C25)</f>
        <v>141148</v>
      </c>
      <c r="D32" s="2451" t="s">
        <v>2165</v>
      </c>
      <c r="E32" s="138"/>
      <c r="F32" s="138"/>
      <c r="G32" s="138"/>
      <c r="H32" s="138"/>
      <c r="I32" s="138"/>
    </row>
    <row r="33" spans="1:15" ht="15">
      <c r="A33" s="961" t="s">
        <v>2166</v>
      </c>
      <c r="B33" s="2452"/>
      <c r="C33" s="2453" t="s">
        <v>3611</v>
      </c>
      <c r="D33" s="2454" t="s">
        <v>3605</v>
      </c>
      <c r="E33" s="2455" t="s">
        <v>2167</v>
      </c>
      <c r="F33" s="2456" t="str">
        <f>IF(D32="楼面单价","取值（单价）","取值（总价）")</f>
        <v>取值（总价）</v>
      </c>
      <c r="G33" s="138"/>
      <c r="H33" s="138"/>
      <c r="I33" s="138"/>
    </row>
    <row r="34" spans="1:15" ht="15">
      <c r="A34" s="2457"/>
      <c r="B34" s="2458" t="s">
        <v>2168</v>
      </c>
      <c r="C34" s="158">
        <f ca="1">IF(C33="自定义",F34,C32-C35)</f>
        <v>119835</v>
      </c>
      <c r="D34" s="1059">
        <f ca="1">IF(C33="自定义",ROUND(C34/C32,3),IF(C33="收益比率",SUMIF(INDIRECT("'"&amp;D33&amp;"'"&amp;"!b:b"),"土地收益比率",INDIRECT("'"&amp;D33&amp;"'"&amp;"!c:c")),SUMIF(INDIRECT("'"&amp;D33&amp;"'"&amp;"!b:b"),"土地成本比率",INDIRECT("'"&amp;D33&amp;"'"&amp;"!c:c"))))</f>
        <v>0.84899999999999998</v>
      </c>
      <c r="E34" s="2459" t="s">
        <v>2169</v>
      </c>
      <c r="F34" s="1741"/>
      <c r="G34" s="138"/>
      <c r="H34" s="138"/>
      <c r="I34" s="138"/>
    </row>
    <row r="35" spans="1:15" ht="15.75" thickBot="1">
      <c r="A35" s="2460"/>
      <c r="B35" s="2461" t="s">
        <v>2170</v>
      </c>
      <c r="C35" s="1445">
        <f ca="1">IF(C33="自定义",F35,ROUND(C32*D35,0))</f>
        <v>21313</v>
      </c>
      <c r="D35" s="1446">
        <f ca="1">IF(C33="自定义",ROUND(C35/C32,3),IF(C33="收益比率",SUMIF(INDIRECT("'"&amp;D33&amp;"'"&amp;"!b:b"),"建筑物收益比率",INDIRECT("'"&amp;D33&amp;"'"&amp;"!c:c")),SUMIF(INDIRECT("'"&amp;D33&amp;"'"&amp;"!b:b"),"建筑物成本比率",INDIRECT("'"&amp;D33&amp;"'"&amp;"!c:c"))))</f>
        <v>0.151</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f ca="1">ROUND(H101*F45,0)</f>
        <v>84689</v>
      </c>
      <c r="E45" s="166" t="s">
        <v>2187</v>
      </c>
      <c r="F45" s="167">
        <v>0.6</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1814">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1814">
        <v>2</v>
      </c>
      <c r="K47" s="3191" t="s">
        <v>2197</v>
      </c>
      <c r="L47" s="3191"/>
      <c r="M47" s="3193">
        <f>'数据-取费表'!B2</f>
        <v>43104</v>
      </c>
      <c r="N47" s="3193"/>
      <c r="O47" s="3193"/>
    </row>
    <row r="48" spans="1:15" ht="25.5">
      <c r="A48" s="3259" t="s">
        <v>2198</v>
      </c>
      <c r="B48" s="3260"/>
      <c r="C48" s="3260"/>
      <c r="D48" s="140">
        <f>IF(H48="情况1",0,IF(H48="情况2",D52,IF(H48="情况3",D53,IF(H48="情况4",D54))))</f>
        <v>0</v>
      </c>
      <c r="E48" s="1803" t="str">
        <f>IF(H48="情况4","(销售额-原购置价)×税（费）率","销售额×税（费）率")</f>
        <v>销售额×税（费）率</v>
      </c>
      <c r="F48" s="176" t="str">
        <f>IF(H48="情况1","免征",'数据-取费表'!B41)</f>
        <v>免征</v>
      </c>
      <c r="G48" s="2483" t="s">
        <v>2199</v>
      </c>
      <c r="H48" s="2484" t="s">
        <v>2200</v>
      </c>
      <c r="I48" s="2482"/>
      <c r="J48" s="1814">
        <v>3</v>
      </c>
      <c r="K48" s="3191" t="s">
        <v>2201</v>
      </c>
      <c r="L48" s="3191"/>
      <c r="M48" s="3194">
        <f ca="1">H101</f>
        <v>141148</v>
      </c>
      <c r="N48" s="3194"/>
      <c r="O48" s="3194"/>
    </row>
    <row r="49" spans="1:35" ht="25.5" customHeight="1">
      <c r="A49" s="177" t="s">
        <v>2202</v>
      </c>
      <c r="B49" s="3239" t="s">
        <v>2203</v>
      </c>
      <c r="C49" s="3239"/>
      <c r="D49" s="178">
        <v>0</v>
      </c>
      <c r="E49" s="23" t="s">
        <v>2204</v>
      </c>
      <c r="F49" s="28" t="s">
        <v>34</v>
      </c>
      <c r="G49" s="3220"/>
      <c r="H49" s="138"/>
      <c r="I49" s="2485"/>
      <c r="J49" s="1814">
        <v>4</v>
      </c>
      <c r="K49" s="3191" t="str">
        <f>IF(项目基本情况!E8="房地产抵押价值","房地产抵押价值","抵押担保权已注销时的房地产抵押价值")</f>
        <v>房地产抵押价值</v>
      </c>
      <c r="L49" s="3191"/>
      <c r="M49" s="3194">
        <f ca="1">IF(项目基本情况!E8="房地产抵押价值",H107,H109)</f>
        <v>141148</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486" t="s">
        <v>2208</v>
      </c>
      <c r="K51" s="3191" t="s">
        <v>2209</v>
      </c>
      <c r="L51" s="3191"/>
      <c r="M51" s="2486" t="s">
        <v>2210</v>
      </c>
      <c r="N51" s="2486" t="s">
        <v>2211</v>
      </c>
      <c r="O51" s="2486" t="s">
        <v>2212</v>
      </c>
    </row>
    <row r="52" spans="1:35" ht="24" customHeight="1">
      <c r="A52" s="184" t="s">
        <v>2213</v>
      </c>
      <c r="B52" s="3239" t="s">
        <v>2214</v>
      </c>
      <c r="C52" s="3239"/>
      <c r="D52" s="183">
        <f ca="1">ROUND(D45*'数据-取费表'!B41/(1+'数据-取费表'!C42),0)</f>
        <v>4517</v>
      </c>
      <c r="E52" s="11" t="s">
        <v>2215</v>
      </c>
      <c r="F52" s="185">
        <f>'数据-取费表'!B41</f>
        <v>5.6000000000000001E-2</v>
      </c>
      <c r="G52" s="2487"/>
      <c r="H52" s="138"/>
      <c r="I52" s="2485"/>
      <c r="J52" s="1814">
        <v>1</v>
      </c>
      <c r="K52" s="3214" t="s">
        <v>2216</v>
      </c>
      <c r="L52" s="3214"/>
      <c r="M52" s="1756">
        <f>D48</f>
        <v>0</v>
      </c>
      <c r="N52" s="1814" t="str">
        <f>E48</f>
        <v>销售额×税（费）率</v>
      </c>
      <c r="O52" s="1757" t="str">
        <f>F48</f>
        <v>免征</v>
      </c>
    </row>
    <row r="53" spans="1:35" ht="12" customHeight="1">
      <c r="A53" s="184" t="s">
        <v>2217</v>
      </c>
      <c r="B53" s="3240" t="s">
        <v>2218</v>
      </c>
      <c r="C53" s="3241"/>
      <c r="D53" s="183">
        <f ca="1">ROUND(D45*'数据-取费表'!B41/(1+'数据-取费表'!C42),0)</f>
        <v>4517</v>
      </c>
      <c r="E53" s="11" t="s">
        <v>2215</v>
      </c>
      <c r="F53" s="185">
        <f>'数据-取费表'!B41</f>
        <v>5.6000000000000001E-2</v>
      </c>
      <c r="G53" s="2487"/>
      <c r="H53" s="138"/>
      <c r="I53" s="2485"/>
      <c r="J53" s="1814">
        <v>2</v>
      </c>
      <c r="K53" s="3214" t="s">
        <v>2219</v>
      </c>
      <c r="L53" s="3214"/>
      <c r="M53" s="1756">
        <f t="shared" ref="M53:O54" ca="1" si="0">D55</f>
        <v>42</v>
      </c>
      <c r="N53" s="1814" t="str">
        <f t="shared" si="0"/>
        <v>销售额×税（费）率</v>
      </c>
      <c r="O53" s="1757">
        <f t="shared" si="0"/>
        <v>5.0000000000000001E-4</v>
      </c>
    </row>
    <row r="54" spans="1:35" ht="12" customHeight="1">
      <c r="A54" s="184" t="s">
        <v>2220</v>
      </c>
      <c r="B54" s="3240" t="s">
        <v>2221</v>
      </c>
      <c r="C54" s="3241"/>
      <c r="D54" s="183">
        <f ca="1">C68</f>
        <v>4517</v>
      </c>
      <c r="E54" s="30" t="s">
        <v>2222</v>
      </c>
      <c r="F54" s="185">
        <f>'数据-取费表'!B41</f>
        <v>5.6000000000000001E-2</v>
      </c>
      <c r="G54" s="2487"/>
      <c r="H54" s="2488"/>
      <c r="I54" s="2485"/>
      <c r="J54" s="1814">
        <v>3</v>
      </c>
      <c r="K54" s="3214" t="s">
        <v>2223</v>
      </c>
      <c r="L54" s="3214"/>
      <c r="M54" s="1756">
        <f t="shared" ca="1" si="0"/>
        <v>47934</v>
      </c>
      <c r="N54" s="1814" t="str">
        <f t="shared" si="0"/>
        <v>增值额×税（费）率</v>
      </c>
      <c r="O54" s="1758" t="str">
        <f t="shared" si="0"/>
        <v>——</v>
      </c>
    </row>
    <row r="55" spans="1:35" ht="24" customHeight="1">
      <c r="A55" s="3278" t="s">
        <v>2224</v>
      </c>
      <c r="B55" s="3260"/>
      <c r="C55" s="3260"/>
      <c r="D55" s="186">
        <f ca="1">IF(H55="个人住宅",0,ROUND(D45*I55,0))</f>
        <v>42</v>
      </c>
      <c r="E55" s="11" t="s">
        <v>2225</v>
      </c>
      <c r="F55" s="185">
        <f>IF(H55="正常",I55,"免征")</f>
        <v>5.0000000000000001E-4</v>
      </c>
      <c r="G55" s="2487"/>
      <c r="H55" s="2484" t="s">
        <v>2226</v>
      </c>
      <c r="I55" s="187">
        <f>'数据-取费表'!B49</f>
        <v>5.0000000000000001E-4</v>
      </c>
      <c r="J55" s="1814" t="str">
        <f>IF(H59="非个人房产","",4)</f>
        <v/>
      </c>
      <c r="K55" s="3214" t="str">
        <f>IF(H59="非个人房产","——","个人所得税")</f>
        <v>——</v>
      </c>
      <c r="L55" s="3214"/>
      <c r="M55" s="1759" t="str">
        <f>D59</f>
        <v>——</v>
      </c>
      <c r="N55" s="1812" t="str">
        <f>E59</f>
        <v>——</v>
      </c>
      <c r="O55" s="1760" t="str">
        <f>F59</f>
        <v>——</v>
      </c>
    </row>
    <row r="56" spans="1:35" ht="24.75">
      <c r="A56" s="3278" t="s">
        <v>2227</v>
      </c>
      <c r="B56" s="3260"/>
      <c r="C56" s="3260"/>
      <c r="D56" s="186">
        <f ca="1">IF(H56="个人住宅",D57,D58)</f>
        <v>47934</v>
      </c>
      <c r="E56" s="11" t="s">
        <v>2228</v>
      </c>
      <c r="F56" s="185" t="str">
        <f>IF(H56="正常",F58,"免征")</f>
        <v>——</v>
      </c>
      <c r="G56" s="2489" t="s">
        <v>2229</v>
      </c>
      <c r="H56" s="2490" t="s">
        <v>2226</v>
      </c>
      <c r="I56" s="2491"/>
      <c r="J56" s="1814"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IF(AND(J55="",J56=""),4,IF(项目基本情况!K6="上海银行",结果表!J56+1,结果表!J55+1))</f>
        <v>4</v>
      </c>
      <c r="K57" s="3214" t="s">
        <v>2231</v>
      </c>
      <c r="L57" s="2492" t="s">
        <v>2232</v>
      </c>
      <c r="M57" s="1761"/>
      <c r="N57" s="1762">
        <f ca="1">SUMIF(M52:M56,"&lt;9e307")</f>
        <v>47976</v>
      </c>
      <c r="O57" s="2493"/>
      <c r="P57" s="1755">
        <f ca="1">N57/M49</f>
        <v>0.33989854620681836</v>
      </c>
    </row>
    <row r="58" spans="1:35" ht="24.75">
      <c r="A58" s="184" t="s">
        <v>2213</v>
      </c>
      <c r="B58" s="3245" t="s">
        <v>2233</v>
      </c>
      <c r="C58" s="3258"/>
      <c r="D58" s="186">
        <f ca="1">IF(H58="转让取得",C81,C97)</f>
        <v>47934</v>
      </c>
      <c r="E58" s="11" t="s">
        <v>2228</v>
      </c>
      <c r="F58" s="24" t="s">
        <v>34</v>
      </c>
      <c r="G58" s="2487"/>
      <c r="H58" s="2490" t="s">
        <v>2234</v>
      </c>
      <c r="I58" s="2491"/>
      <c r="J58" s="3214"/>
      <c r="K58" s="3214"/>
      <c r="L58" s="2492" t="s">
        <v>2235</v>
      </c>
      <c r="M58" s="1763"/>
      <c r="N58" s="2494" t="str">
        <f ca="1">NUMBERSTRING(INT(N57*10000),2)&amp;"元整"</f>
        <v>肆亿柒仟玖佰柒拾陆万元整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1814" t="s">
        <v>2232</v>
      </c>
      <c r="M59" s="1764"/>
      <c r="N59" s="1765">
        <f ca="1">M49-N57</f>
        <v>93172</v>
      </c>
      <c r="O59" s="2497"/>
    </row>
    <row r="60" spans="1:35" ht="12" customHeight="1">
      <c r="A60" s="2498"/>
      <c r="B60" s="2420"/>
      <c r="C60" s="2420"/>
      <c r="D60" s="2420"/>
      <c r="E60" s="2168"/>
      <c r="F60" s="2491"/>
      <c r="G60" s="2491"/>
      <c r="H60" s="2499"/>
      <c r="I60" s="138"/>
      <c r="J60" s="3217"/>
      <c r="K60" s="3214"/>
      <c r="L60" s="2492" t="s">
        <v>2235</v>
      </c>
      <c r="M60" s="1763"/>
      <c r="N60" s="2494" t="str">
        <f ca="1">NUMBERSTRING(INT(N59*10000),2)&amp;"元整"</f>
        <v>玖亿叁仟壹佰柒拾贰万元整</v>
      </c>
      <c r="O60" s="2495"/>
    </row>
    <row r="61" spans="1:35" ht="13.5" thickBot="1">
      <c r="A61" s="3277" t="s">
        <v>2239</v>
      </c>
      <c r="B61" s="3277"/>
      <c r="C61" s="3277"/>
      <c r="D61" s="3277"/>
      <c r="E61" s="3277"/>
      <c r="F61" s="2491"/>
      <c r="G61" s="2491"/>
      <c r="H61" s="2499"/>
      <c r="I61" s="138"/>
      <c r="J61" s="1814">
        <f>J59+1</f>
        <v>6</v>
      </c>
      <c r="K61" s="3214" t="s">
        <v>2240</v>
      </c>
      <c r="L61" s="3214"/>
      <c r="M61" s="1766"/>
      <c r="N61" s="1767">
        <f ca="1">ROUND(N59*10000/'数据-汇总表'!E3,0)</f>
        <v>22598</v>
      </c>
      <c r="O61" s="2500"/>
    </row>
    <row r="62" spans="1:35" ht="12.75">
      <c r="A62" s="3234" t="s">
        <v>2241</v>
      </c>
      <c r="B62" s="3235"/>
      <c r="C62" s="1806"/>
      <c r="D62" s="1806" t="s">
        <v>2242</v>
      </c>
      <c r="E62" s="193" t="s">
        <v>2243</v>
      </c>
      <c r="F62" s="2491"/>
      <c r="G62" s="2491"/>
      <c r="H62" s="2499"/>
      <c r="I62" s="138"/>
    </row>
    <row r="63" spans="1:35" ht="12.75">
      <c r="A63" s="204" t="s">
        <v>775</v>
      </c>
      <c r="B63" s="194" t="s">
        <v>2244</v>
      </c>
      <c r="C63" s="195">
        <f ca="1">ROUND((C64+C65)/(1+'数据-取费表'!C42),0)</f>
        <v>80656</v>
      </c>
      <c r="D63" s="196"/>
      <c r="E63" s="197"/>
      <c r="F63" s="2491"/>
      <c r="G63" s="2491"/>
      <c r="H63" s="2499"/>
      <c r="I63" s="138"/>
      <c r="J63" s="3199" t="s">
        <v>2245</v>
      </c>
      <c r="K63" s="2501" t="s">
        <v>2246</v>
      </c>
      <c r="L63" s="1754">
        <f ca="1">IF(M49&gt;10000,M49*0.5%,IF(AND(M49&gt;1000,M49&lt;=10000),M49*1%,IF(AND(M49&gt;100,M49&lt;=1000),M49*3%,IF(AND(M49&gt;10,M49&lt;=100),M49*5%,M49*8%))))</f>
        <v>705.74</v>
      </c>
      <c r="M63" s="24">
        <f ca="1">ROUND(L63,1)</f>
        <v>705.7</v>
      </c>
      <c r="Z63" s="2425"/>
      <c r="AI63" s="2426"/>
    </row>
    <row r="64" spans="1:35" ht="14.25" customHeight="1">
      <c r="A64" s="198" t="s">
        <v>770</v>
      </c>
      <c r="B64" s="199" t="s">
        <v>2247</v>
      </c>
      <c r="C64" s="200">
        <f ca="1">D45</f>
        <v>84689</v>
      </c>
      <c r="D64" s="201" t="s">
        <v>32</v>
      </c>
      <c r="E64" s="202"/>
      <c r="F64" s="2491"/>
      <c r="G64" s="2491"/>
      <c r="H64" s="2499"/>
      <c r="I64" s="138"/>
      <c r="J64" s="3199"/>
      <c r="K64" s="2501" t="s">
        <v>2248</v>
      </c>
      <c r="L64" s="1754">
        <f ca="1">IF(M49&gt;2000,M49*0.5%,IF(AND(M49&gt;1000,M49&lt;=2000),M49*0.6%,IF(AND(M49&gt;500,M49&lt;=1000),M49*0.7%,IF(AND(M49&gt;200,M49&lt;=500),M49*0.8%,IF(AND(M49&gt;100,M49&lt;=200),M49*0.9%,IF(AND(M49&gt;50,M49&lt;=100),M49*1%,IF(AND(M49&gt;20,M49&lt;=50),M49*1.5%,IF(AND(M49&gt;10,M49&lt;=20),M49*2%,IF(AND(M49&gt;1,M49&lt;=10),M49*2.5%)))))))))</f>
        <v>705.74</v>
      </c>
      <c r="M64" s="24">
        <f t="shared" ref="M64:M65" ca="1" si="1">ROUND(L64,1)</f>
        <v>705.7</v>
      </c>
      <c r="N64" s="138" t="s">
        <v>2249</v>
      </c>
      <c r="Z64" s="2425"/>
      <c r="AI64" s="2426"/>
    </row>
    <row r="65" spans="1:35" ht="14.25" customHeight="1">
      <c r="A65" s="198" t="s">
        <v>771</v>
      </c>
      <c r="B65" s="199" t="s">
        <v>2250</v>
      </c>
      <c r="C65" s="203"/>
      <c r="D65" s="201"/>
      <c r="E65" s="202"/>
      <c r="F65" s="2491"/>
      <c r="G65" s="2491"/>
      <c r="H65" s="2499"/>
      <c r="I65" s="138"/>
      <c r="J65" s="3199"/>
      <c r="K65" s="2501" t="s">
        <v>2251</v>
      </c>
      <c r="L65" s="1754">
        <f ca="1">IF(M49&gt;1000,M49*0.1%,IF(AND(M49&gt;500,M49&lt;=1000),M49*0.5%,IF(AND(M49&gt;50,M49&lt;=500),M49*1%,IF(AND(M49&gt;1,M49&lt;=50),M49*1.5%))))</f>
        <v>141.148</v>
      </c>
      <c r="M65" s="24">
        <f t="shared" ca="1" si="1"/>
        <v>141.1</v>
      </c>
      <c r="N65" s="138" t="s">
        <v>2249</v>
      </c>
      <c r="Z65" s="2425"/>
      <c r="AI65" s="2426"/>
    </row>
    <row r="66" spans="1:35" ht="14.25" customHeight="1">
      <c r="A66" s="204" t="s">
        <v>772</v>
      </c>
      <c r="B66" s="205" t="s">
        <v>2252</v>
      </c>
      <c r="C66" s="206"/>
      <c r="D66" s="207" t="s">
        <v>32</v>
      </c>
      <c r="E66" s="1778" t="s">
        <v>1372</v>
      </c>
      <c r="F66" s="2491"/>
      <c r="G66" s="2491"/>
      <c r="H66" s="2499"/>
      <c r="I66" s="138"/>
      <c r="J66" s="3199"/>
      <c r="K66" s="2501" t="s">
        <v>2253</v>
      </c>
      <c r="L66" s="1754">
        <f ca="1">M49*0.5%</f>
        <v>705.74</v>
      </c>
      <c r="M66" s="24">
        <f ca="1">IF(L66&gt;0.5,0.5,ROUND(L66,0))</f>
        <v>0.5</v>
      </c>
      <c r="N66" s="138" t="s">
        <v>2254</v>
      </c>
      <c r="Z66" s="2425"/>
      <c r="AI66" s="2426"/>
    </row>
    <row r="67" spans="1:35" ht="14.25" customHeight="1">
      <c r="A67" s="204" t="s">
        <v>773</v>
      </c>
      <c r="B67" s="205" t="s">
        <v>2255</v>
      </c>
      <c r="C67" s="208">
        <f ca="1">C63-C66</f>
        <v>80656</v>
      </c>
      <c r="D67" s="201" t="s">
        <v>32</v>
      </c>
      <c r="E67" s="202"/>
      <c r="F67" s="2491"/>
      <c r="G67" s="2491"/>
      <c r="H67" s="2499"/>
      <c r="I67" s="138"/>
      <c r="J67" s="3199"/>
      <c r="K67" s="2501" t="s">
        <v>2256</v>
      </c>
      <c r="L67" s="1754">
        <f ca="1">IF(M49&gt;=10000,(8.25+(M49-10000)*0.01%),IF(AND(M49&gt;=8000,M49&lt;10000),(7.85+(M49-8000)*0.02%),IF(AND(M49&gt;=5000,M49&lt;8000),(6.65+(M49-5000)*0.04%),IF(AND(M49&gt;=2000,M49&lt;5000),(4.25+(PM49-2000)*0.08%),IF(AND(M49&gt;=1000,M49&lt;2000),(2.75+(M49-1000)*0.15%),IF(AND(M49&gt;=100,M49&lt;1000),(0.5+(M49-100)*0.25%),IF(AND(M49&gt;0,M49&lt;100),M49*0.5%)))))))</f>
        <v>21.364800000000002</v>
      </c>
      <c r="M67" s="24">
        <f ca="1">ROUND(L67*0.9,1)</f>
        <v>19.2</v>
      </c>
      <c r="Z67" s="2425"/>
      <c r="AI67" s="2426"/>
    </row>
    <row r="68" spans="1:35" ht="14.25" customHeight="1" thickBot="1">
      <c r="A68" s="209" t="s">
        <v>774</v>
      </c>
      <c r="B68" s="210" t="s">
        <v>2257</v>
      </c>
      <c r="C68" s="211">
        <f ca="1">IF(C67&lt;=0,0,ROUND(C67*D68,0))</f>
        <v>4517</v>
      </c>
      <c r="D68" s="212">
        <f>'数据-取费表'!B41</f>
        <v>5.6000000000000001E-2</v>
      </c>
      <c r="E68" s="213"/>
      <c r="F68" s="2491"/>
      <c r="G68" s="2491"/>
      <c r="H68" s="2499"/>
      <c r="I68" s="138"/>
      <c r="J68" s="3199"/>
      <c r="K68" s="2501" t="s">
        <v>2258</v>
      </c>
      <c r="L68" s="1754">
        <f ca="1">IF(M49&gt;10000,M49*0.5%,IF(AND(M49&gt;5000,M49&lt;=10000),M49*1%,IF(AND(M49&gt;1000,M49&lt;=5000),M49*2%,IF(AND(M49&gt;200,M49&lt;=1000),M49*3%,M49*5%))))</f>
        <v>705.74</v>
      </c>
      <c r="M68" s="24">
        <f ca="1">ROUND(L68,1)</f>
        <v>705.7</v>
      </c>
      <c r="Z68" s="2425"/>
      <c r="AI68" s="2426"/>
    </row>
    <row r="69" spans="1:35" s="2448" customFormat="1" ht="16.5" customHeight="1">
      <c r="A69" s="2502"/>
      <c r="B69" s="2503"/>
      <c r="C69" s="2504"/>
      <c r="D69" s="2505"/>
      <c r="E69" s="2506"/>
      <c r="F69" s="2168"/>
      <c r="G69" s="2168"/>
      <c r="H69" s="2167"/>
      <c r="I69" s="2420"/>
      <c r="J69" s="3199"/>
      <c r="K69" s="2501" t="s">
        <v>2259</v>
      </c>
      <c r="L69" s="2507"/>
      <c r="M69" s="24">
        <f ca="1">ROUND(SUM(M63:M68),0)</f>
        <v>2278</v>
      </c>
      <c r="N69" s="1755">
        <f ca="1">M69/M49</f>
        <v>1.6139088049423302E-2</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1806"/>
      <c r="D71" s="1806"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f ca="1">ROUND(D45/(1+'数据-取费表'!C42),0)</f>
        <v>80656</v>
      </c>
      <c r="D72" s="201" t="s">
        <v>32</v>
      </c>
      <c r="E72" s="1805"/>
      <c r="F72" s="1799"/>
      <c r="G72" s="179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f ca="1">C74+C78</f>
        <v>484</v>
      </c>
      <c r="D73" s="201" t="s">
        <v>32</v>
      </c>
      <c r="E73" s="1805"/>
      <c r="F73" s="1799"/>
      <c r="G73" s="179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1805"/>
      <c r="F74" s="1799"/>
      <c r="G74" s="179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15" t="s">
        <v>2271</v>
      </c>
      <c r="F77" s="225"/>
      <c r="G77" s="2515" t="s">
        <v>2272</v>
      </c>
      <c r="H77" s="1810"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f ca="1">ROUND(D45*D78/(1+'数据-取费表'!C42),0)</f>
        <v>484</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5" t="s">
        <v>2275</v>
      </c>
      <c r="C79" s="208">
        <f ca="1">C72-C73</f>
        <v>80172</v>
      </c>
      <c r="D79" s="201" t="s">
        <v>32</v>
      </c>
      <c r="E79" s="1805"/>
      <c r="F79" s="1799"/>
      <c r="G79" s="179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f ca="1">IF(C79&lt;=0,0,C79/C73)</f>
        <v>165.64462809917356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f ca="1">ROUND(IF(C79&lt;=0,0,IF(C80&gt;=200%,C79*60%-C73*35%,IF(C80&gt;=100%,C79*50%-C73*15%,IF(C80&gt;=50%,C79*40%-C73*5%,IF(C80&lt;50%,C79*30%,0))))),0)</f>
        <v>47934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1806"/>
      <c r="D84" s="1806"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f ca="1">ROUND(D45/(1+'数据-取费表'!C42),0)</f>
        <v>80656</v>
      </c>
      <c r="D85" s="201" t="s">
        <v>32</v>
      </c>
      <c r="E85" s="1805"/>
      <c r="F85" s="1799"/>
      <c r="G85" s="179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f ca="1">IF(H88="仅含出让金",C87+C90+C91+C92+C93+C94,C87+C91+C92+C93+C94)</f>
        <v>484</v>
      </c>
      <c r="D86" s="236"/>
      <c r="E86" s="1805"/>
      <c r="F86" s="1799"/>
      <c r="G86" s="179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1801"/>
      <c r="F87" s="1802"/>
      <c r="G87" s="1802"/>
      <c r="H87" s="180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1802"/>
      <c r="G88" s="239" t="s">
        <v>2282</v>
      </c>
      <c r="H88" s="2519" t="s">
        <v>3612</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1802"/>
      <c r="G89" s="1802"/>
      <c r="H89" s="180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1802"/>
      <c r="G90" s="1802"/>
      <c r="H90" s="180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f ca="1">ROUND(D45*D93/(1+'数据-取费表'!C42),0)</f>
        <v>484</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5" t="s">
        <v>2275</v>
      </c>
      <c r="C95" s="208">
        <f ca="1">ROUND(C85-C86,0)</f>
        <v>80172</v>
      </c>
      <c r="D95" s="201" t="s">
        <v>32</v>
      </c>
      <c r="E95" s="1805"/>
      <c r="F95" s="1799"/>
      <c r="G95" s="179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f ca="1">IF(C95&lt;=0,0,C95/C86)</f>
        <v>165.64462809917356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f ca="1">ROUND(IF(C95&lt;=0,0,IF(C96&gt;=200%,C95*60%-C86*35%,IF(C96&gt;=100%,C95*50%-C86*15%,IF(C96&gt;=50%,C95*40%-C86*5%,IF(C96&lt;50%,C95*30%,0))))),0)</f>
        <v>47934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t="str">
        <f>C4</f>
        <v>成本法</v>
      </c>
      <c r="D101" s="738" t="str">
        <f>D4</f>
        <v>假设开发法</v>
      </c>
      <c r="E101" s="3195" t="s">
        <v>2300</v>
      </c>
      <c r="F101" s="3196"/>
      <c r="G101" s="2522" t="s">
        <v>2301</v>
      </c>
      <c r="H101" s="1049">
        <f ca="1">H118</f>
        <v>141148</v>
      </c>
      <c r="I101" s="138"/>
    </row>
    <row r="102" spans="1:35" ht="18.75" customHeight="1">
      <c r="A102" s="3225" t="s">
        <v>2302</v>
      </c>
      <c r="B102" s="2522" t="s">
        <v>2301</v>
      </c>
      <c r="C102" s="737">
        <f ca="1">C19</f>
        <v>136833</v>
      </c>
      <c r="D102" s="738">
        <f ca="1">D19</f>
        <v>145463</v>
      </c>
      <c r="E102" s="3195"/>
      <c r="F102" s="3196"/>
      <c r="G102" s="2522" t="s">
        <v>2303</v>
      </c>
      <c r="H102" s="372">
        <f ca="1">I118</f>
        <v>34233</v>
      </c>
      <c r="I102" s="138"/>
    </row>
    <row r="103" spans="1:35" ht="42.75" customHeight="1">
      <c r="A103" s="3225"/>
      <c r="B103" s="2522" t="s">
        <v>2303</v>
      </c>
      <c r="C103" s="739">
        <f ca="1">C20</f>
        <v>33187</v>
      </c>
      <c r="D103" s="740">
        <f ca="1">D20</f>
        <v>35280</v>
      </c>
      <c r="E103" s="3189" t="s">
        <v>2304</v>
      </c>
      <c r="F103" s="3190"/>
      <c r="G103" s="2523" t="s">
        <v>2305</v>
      </c>
      <c r="H103" s="1049">
        <f>IF(D36="正常操作",H104+H105+H106,H105+H106)</f>
        <v>0</v>
      </c>
      <c r="I103" s="138"/>
    </row>
    <row r="104" spans="1:35" ht="18.75" customHeight="1">
      <c r="A104" s="3225" t="s">
        <v>2306</v>
      </c>
      <c r="B104" s="2524" t="s">
        <v>2301</v>
      </c>
      <c r="C104" s="741">
        <f ca="1">H118</f>
        <v>141148</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f ca="1">I118</f>
        <v>34233</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f ca="1">IF(E107="——","——",H101-H103)</f>
        <v>141148</v>
      </c>
      <c r="I107" s="138"/>
    </row>
    <row r="108" spans="1:35" ht="18.75" customHeight="1">
      <c r="A108" s="138"/>
      <c r="B108" s="138"/>
      <c r="C108" s="138"/>
      <c r="D108" s="138"/>
      <c r="E108" s="3226"/>
      <c r="F108" s="3196"/>
      <c r="G108" s="2522" t="s">
        <v>2303</v>
      </c>
      <c r="H108" s="372">
        <f ca="1">ROUND(H107*10000/'数据-汇总表'!E3,0)</f>
        <v>34233</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1800" t="s">
        <v>2318</v>
      </c>
      <c r="E117" s="1800" t="s">
        <v>2319</v>
      </c>
      <c r="F117" s="1800" t="s">
        <v>2318</v>
      </c>
      <c r="G117" s="1800" t="s">
        <v>2320</v>
      </c>
      <c r="H117" s="1800" t="s">
        <v>2318</v>
      </c>
      <c r="I117" s="1800" t="s">
        <v>2320</v>
      </c>
    </row>
    <row r="118" spans="1:11" ht="24.75" customHeight="1">
      <c r="A118" s="2528" t="str">
        <f>项目基本情况!S2</f>
        <v>北京市出让国有建设用地使用权及在建建筑物房地产</v>
      </c>
      <c r="B118" s="1800">
        <f>M18</f>
        <v>41231.079999999994</v>
      </c>
      <c r="C118" s="1800">
        <f>M19</f>
        <v>6064.26</v>
      </c>
      <c r="D118" s="1800">
        <f ca="1">ROUND(IF(D32="总价",C34,E118*B118/10000),0)</f>
        <v>119835</v>
      </c>
      <c r="E118" s="1800">
        <f ca="1">ROUND(IF(C33="自定义",IF(D32="楼面单价",C34,D118*10000/B118),I118-G118),0)</f>
        <v>29064</v>
      </c>
      <c r="F118" s="1800">
        <f ca="1">ROUND(IF(D32="总价",C35,G118*B118/10000),0)</f>
        <v>21313</v>
      </c>
      <c r="G118" s="1800">
        <f ca="1">ROUND(IF(D32="楼面单价",C35,F118*10000/B118),0)</f>
        <v>5169</v>
      </c>
      <c r="H118" s="1800">
        <f ca="1">ROUND(IF(D32="总价",C32,I118*B118/10000),0)</f>
        <v>141148</v>
      </c>
      <c r="I118" s="1800">
        <f ca="1">ROUND(IF(D32="楼面单价",C32,H118*10000/B118),0)</f>
        <v>34233</v>
      </c>
    </row>
    <row r="119" spans="1:11" ht="18.75" customHeight="1">
      <c r="A119" s="3162" t="s">
        <v>2321</v>
      </c>
      <c r="B119" s="3162"/>
      <c r="C119" s="3162"/>
      <c r="D119" s="3207" t="str">
        <f ca="1">NUMBERSTRING(INT(D118*10000),2)&amp;"元整"</f>
        <v>壹拾壹亿玖仟捌佰叁拾伍万元整</v>
      </c>
      <c r="E119" s="3208"/>
      <c r="F119" s="3207" t="str">
        <f ca="1">NUMBERSTRING(INT(F118*10000),2)&amp;"元整"</f>
        <v>贰亿壹仟叁佰壹拾叁万元整</v>
      </c>
      <c r="G119" s="3208"/>
      <c r="H119" s="3207" t="str">
        <f ca="1">NUMBERSTRING(INT(H118*10000),2)&amp;"元整"</f>
        <v>壹拾肆亿壹仟壹佰肆拾捌万元整</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f ca="1">H107</f>
        <v>141148</v>
      </c>
      <c r="E122" s="3203"/>
      <c r="F122" s="3203"/>
      <c r="G122" s="3203"/>
      <c r="H122" s="3203"/>
      <c r="I122" s="3204"/>
    </row>
    <row r="123" spans="1:11" ht="18.75" customHeight="1">
      <c r="A123" s="3162" t="s">
        <v>2321</v>
      </c>
      <c r="B123" s="3162"/>
      <c r="C123" s="3162"/>
      <c r="D123" s="3207" t="str">
        <f ca="1">NUMBERSTRING(INT(D122*10000),2)&amp;"元整"</f>
        <v>壹拾肆亿壹仟壹佰肆拾捌万元整</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2330</v>
      </c>
      <c r="B1" s="1942"/>
      <c r="C1" s="2557" t="s">
        <v>2432</v>
      </c>
      <c r="D1" s="243"/>
      <c r="E1" s="243"/>
      <c r="F1" s="243"/>
      <c r="G1" s="1383">
        <f>MATCH(B1,'数据-取费表'!A6:A16,0)+5</f>
        <v>8</v>
      </c>
      <c r="H1" s="1286" t="str">
        <f>IF(ISERROR(FIND("住宅",B1)),"非住宅","住宅")</f>
        <v>非住宅</v>
      </c>
    </row>
    <row r="2" spans="1:8" s="245" customFormat="1" ht="18" customHeight="1">
      <c r="A2" s="246" t="s">
        <v>2331</v>
      </c>
      <c r="B2" s="247">
        <f ca="1">ROUND(IF(D2="——",C52/10000,C52/10000-E2),0)</f>
        <v>26832</v>
      </c>
      <c r="C2" s="244" t="s">
        <v>2332</v>
      </c>
      <c r="D2" s="2551" t="s">
        <v>70</v>
      </c>
      <c r="E2" s="1444" t="e">
        <f ca="1">SUMIF(INDIRECT("'"&amp;G2&amp;"'"&amp;"!A:A"),"承租人权益价值",INDIRECT("'"&amp;G2&amp;"'"&amp;"!c:c"))</f>
        <v>#REF!</v>
      </c>
      <c r="F2" s="2552" t="s">
        <v>2332</v>
      </c>
      <c r="G2" s="2553"/>
    </row>
    <row r="3" spans="1:8" s="245" customFormat="1" ht="18" customHeight="1" thickBot="1">
      <c r="A3" s="248" t="s">
        <v>2333</v>
      </c>
      <c r="B3" s="249">
        <f ca="1">ROUND(B2*10000/(IF(B1="",'数据-汇总表'!E3,INDIRECT("'数据-取费表'!k"&amp;$G$1))),0)</f>
        <v>6508</v>
      </c>
      <c r="C3" s="244" t="s">
        <v>2334</v>
      </c>
      <c r="D3" s="244"/>
      <c r="E3" s="244"/>
      <c r="F3" s="244"/>
      <c r="G3" s="244"/>
    </row>
    <row r="4" spans="1:8" s="253" customFormat="1" ht="15.75">
      <c r="A4" s="250" t="s">
        <v>2335</v>
      </c>
      <c r="B4" s="251"/>
      <c r="C4" s="251"/>
      <c r="D4" s="251"/>
      <c r="E4" s="251"/>
      <c r="F4" s="251"/>
      <c r="G4" s="252"/>
    </row>
    <row r="5" spans="1:8" s="259" customFormat="1" ht="13.5" customHeight="1">
      <c r="A5" s="300" t="s">
        <v>2336</v>
      </c>
      <c r="B5" s="255" t="s">
        <v>2337</v>
      </c>
      <c r="C5" s="256">
        <f ca="1">C6+C7+C8</f>
        <v>8246216</v>
      </c>
      <c r="D5" s="256" t="s">
        <v>2338</v>
      </c>
      <c r="E5" s="257" t="s">
        <v>2339</v>
      </c>
      <c r="F5" s="257" t="s">
        <v>2340</v>
      </c>
      <c r="G5" s="258"/>
    </row>
    <row r="6" spans="1:8" s="259" customFormat="1" ht="13.5" customHeight="1">
      <c r="A6" s="953" t="s">
        <v>2341</v>
      </c>
      <c r="B6" s="260" t="s">
        <v>2342</v>
      </c>
      <c r="C6" s="261"/>
      <c r="D6" s="262"/>
      <c r="E6" s="263"/>
      <c r="F6" s="263"/>
      <c r="G6" s="264"/>
    </row>
    <row r="7" spans="1:8" s="259" customFormat="1" ht="13.5" customHeight="1">
      <c r="A7" s="953" t="s">
        <v>2343</v>
      </c>
      <c r="B7" s="260" t="s">
        <v>2344</v>
      </c>
      <c r="C7" s="265">
        <f>ROUND(C6*F7,0)</f>
        <v>0</v>
      </c>
      <c r="D7" s="265"/>
      <c r="E7" s="263"/>
      <c r="F7" s="266">
        <f>'数据-取费表'!B48+'数据-取费表'!B49</f>
        <v>3.0499999999999999E-2</v>
      </c>
      <c r="G7" s="264"/>
    </row>
    <row r="8" spans="1:8" s="268" customFormat="1">
      <c r="A8" s="953" t="s">
        <v>2345</v>
      </c>
      <c r="B8" s="260" t="s">
        <v>2346</v>
      </c>
      <c r="C8" s="265">
        <f ca="1">IF(G8="已包含在土地购买价格中",0,C9+C10)</f>
        <v>8246216</v>
      </c>
      <c r="D8" s="267"/>
      <c r="E8" s="265"/>
      <c r="F8" s="266"/>
      <c r="G8" s="2554"/>
    </row>
    <row r="9" spans="1:8" s="259" customFormat="1" ht="13.5" customHeight="1">
      <c r="A9" s="954" t="s">
        <v>800</v>
      </c>
      <c r="B9" s="269" t="s">
        <v>2347</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2349</v>
      </c>
      <c r="C10" s="270">
        <f ca="1">ROUND(D10*E10,0)</f>
        <v>8246216</v>
      </c>
      <c r="D10" s="1036">
        <f ca="1">IF(B1="",'数据-汇总表'!E6,IF(INDIRECT("'数据-取费表'!c"&amp;$G$1)="住宅",INDIRECT("'数据-取费表'!s"&amp;$G$1),INDIRECT("'数据-取费表'!k"&amp;$G$1)+INDIRECT("'数据-取费表'!s"&amp;$G$1)))</f>
        <v>41231.079999999994</v>
      </c>
      <c r="E10" s="270">
        <f>'数据-取费表'!B28</f>
        <v>200</v>
      </c>
      <c r="F10" s="266"/>
      <c r="G10" s="271"/>
    </row>
    <row r="11" spans="1:8" s="259" customFormat="1" ht="13.5" hidden="1" customHeight="1">
      <c r="A11" s="272" t="s">
        <v>7</v>
      </c>
      <c r="B11" s="260" t="s">
        <v>2350</v>
      </c>
      <c r="C11" s="256"/>
      <c r="D11" s="1038"/>
      <c r="E11" s="263"/>
      <c r="F11" s="263"/>
      <c r="G11" s="264"/>
    </row>
    <row r="12" spans="1:8" s="259" customFormat="1" ht="13.5" hidden="1" customHeight="1">
      <c r="A12" s="272" t="s">
        <v>8</v>
      </c>
      <c r="B12" s="260" t="s">
        <v>2433</v>
      </c>
      <c r="C12" s="256">
        <v>0</v>
      </c>
      <c r="D12" s="1038"/>
      <c r="E12" s="273"/>
      <c r="F12" s="266">
        <v>3.0499999999999999E-2</v>
      </c>
      <c r="G12" s="264"/>
    </row>
    <row r="13" spans="1:8" s="259" customFormat="1" ht="13.5" hidden="1" customHeight="1">
      <c r="A13" s="272" t="s">
        <v>9</v>
      </c>
      <c r="B13" s="260" t="s">
        <v>2434</v>
      </c>
      <c r="C13" s="256"/>
      <c r="D13" s="1038"/>
      <c r="E13" s="263"/>
      <c r="F13" s="263"/>
      <c r="G13" s="264"/>
    </row>
    <row r="14" spans="1:8" s="259" customFormat="1" ht="13.5" hidden="1" customHeight="1">
      <c r="A14" s="272" t="s">
        <v>10</v>
      </c>
      <c r="B14" s="260" t="s">
        <v>2346</v>
      </c>
      <c r="C14" s="256"/>
      <c r="D14" s="1038"/>
      <c r="E14" s="263"/>
      <c r="F14" s="263"/>
      <c r="G14" s="264" t="s">
        <v>2435</v>
      </c>
    </row>
    <row r="15" spans="1:8" s="259" customFormat="1" ht="13.5" hidden="1" customHeight="1">
      <c r="A15" s="272" t="s">
        <v>11</v>
      </c>
      <c r="B15" s="260" t="s">
        <v>2436</v>
      </c>
      <c r="C15" s="265"/>
      <c r="D15" s="1038"/>
      <c r="E15" s="263"/>
      <c r="F15" s="263"/>
      <c r="G15" s="264" t="s">
        <v>2437</v>
      </c>
    </row>
    <row r="16" spans="1:8" s="259" customFormat="1" ht="13.5" hidden="1" customHeight="1">
      <c r="A16" s="272" t="s">
        <v>12</v>
      </c>
      <c r="B16" s="260" t="s">
        <v>2346</v>
      </c>
      <c r="C16" s="265"/>
      <c r="D16" s="1038"/>
      <c r="E16" s="263"/>
      <c r="F16" s="263"/>
      <c r="G16" s="264"/>
    </row>
    <row r="17" spans="1:7" s="259" customFormat="1" ht="13.5" hidden="1" customHeight="1">
      <c r="A17" s="272" t="s">
        <v>13</v>
      </c>
      <c r="B17" s="260" t="s">
        <v>2438</v>
      </c>
      <c r="C17" s="274"/>
      <c r="D17" s="1039"/>
      <c r="E17" s="274"/>
      <c r="F17" s="274"/>
      <c r="G17" s="264" t="s">
        <v>2437</v>
      </c>
    </row>
    <row r="18" spans="1:7" s="259" customFormat="1" ht="13.5" hidden="1" customHeight="1">
      <c r="A18" s="272" t="s">
        <v>14</v>
      </c>
      <c r="B18" s="260" t="s">
        <v>2439</v>
      </c>
      <c r="C18" s="265">
        <v>0</v>
      </c>
      <c r="D18" s="1038"/>
      <c r="E18" s="263"/>
      <c r="F18" s="266">
        <v>3.0499999999999999E-2</v>
      </c>
      <c r="G18" s="264" t="s">
        <v>2440</v>
      </c>
    </row>
    <row r="19" spans="1:7" s="268" customFormat="1" ht="13.5" customHeight="1">
      <c r="A19" s="300" t="s">
        <v>2441</v>
      </c>
      <c r="B19" s="255" t="s">
        <v>2442</v>
      </c>
      <c r="C19" s="256">
        <f ca="1">IF(G19="已包含在土地取得成本中","0",ROUND(D19*E19,0))</f>
        <v>8246216</v>
      </c>
      <c r="D19" s="1040">
        <f ca="1">D9+D10</f>
        <v>41231.079999999994</v>
      </c>
      <c r="E19" s="256">
        <f>'数据-取费表'!B31</f>
        <v>200</v>
      </c>
      <c r="F19" s="276"/>
      <c r="G19" s="2554"/>
    </row>
    <row r="20" spans="1:7" s="259" customFormat="1" ht="13.5" customHeight="1">
      <c r="A20" s="300" t="s">
        <v>2443</v>
      </c>
      <c r="B20" s="255" t="s">
        <v>2444</v>
      </c>
      <c r="C20" s="277">
        <f ca="1">ROUND((C5+C19)*F20,0)</f>
        <v>329849</v>
      </c>
      <c r="D20" s="277"/>
      <c r="E20" s="277"/>
      <c r="F20" s="278">
        <f>'数据-取费表'!B37</f>
        <v>0.02</v>
      </c>
      <c r="G20" s="279" t="s">
        <v>2445</v>
      </c>
    </row>
    <row r="21" spans="1:7" s="259" customFormat="1" ht="13.5" customHeight="1">
      <c r="A21" s="300" t="s">
        <v>2446</v>
      </c>
      <c r="B21" s="255" t="s">
        <v>2447</v>
      </c>
      <c r="C21" s="280">
        <f>F21</f>
        <v>0.02</v>
      </c>
      <c r="D21" s="281" t="s">
        <v>2448</v>
      </c>
      <c r="E21" s="277"/>
      <c r="F21" s="278">
        <f>'数据-取费表'!B38</f>
        <v>0.02</v>
      </c>
      <c r="G21" s="279" t="s">
        <v>2449</v>
      </c>
    </row>
    <row r="22" spans="1:7" s="259" customFormat="1" ht="13.5" customHeight="1">
      <c r="A22" s="300" t="s">
        <v>2450</v>
      </c>
      <c r="B22" s="255" t="s">
        <v>2451</v>
      </c>
      <c r="C22" s="1384">
        <f ca="1">ROUND(SUM(C23:C25),0)</f>
        <v>724594</v>
      </c>
      <c r="D22" s="280">
        <f ca="1">C26</f>
        <v>4.0000000000000002E-4</v>
      </c>
      <c r="E22" s="281" t="s">
        <v>2448</v>
      </c>
      <c r="F22" s="282">
        <f ca="1">'数据-取费表'!B40</f>
        <v>4.3499999999999997E-2</v>
      </c>
      <c r="G22" s="279" t="str">
        <f>IF('数据-取费表'!B22&lt;=1,"单利计息","复利计息")</f>
        <v>单利计息</v>
      </c>
    </row>
    <row r="23" spans="1:7" s="259" customFormat="1" ht="13.5" customHeight="1">
      <c r="A23" s="955" t="s">
        <v>2341</v>
      </c>
      <c r="B23" s="260" t="s">
        <v>2452</v>
      </c>
      <c r="C23" s="1385">
        <f ca="1">ROUND(IF('数据-取费表'!B22&lt;=1,C5*F22*'数据-取费表'!B22,C5*(POWER((1+F22),'数据-取费表'!B22)-1)),0)</f>
        <v>358710</v>
      </c>
      <c r="D23" s="283"/>
      <c r="E23" s="283"/>
      <c r="F23" s="284"/>
      <c r="G23" s="285" t="s">
        <v>2453</v>
      </c>
    </row>
    <row r="24" spans="1:7" s="259" customFormat="1" ht="13.5" customHeight="1">
      <c r="A24" s="955" t="s">
        <v>2343</v>
      </c>
      <c r="B24" s="260" t="s">
        <v>2454</v>
      </c>
      <c r="C24" s="1385">
        <f ca="1">ROUND(IF('数据-取费表'!B22&lt;=1,C19*F22*('数据-取费表'!B19/2+'数据-取费表'!B20),C19*(POWER((1+F22),('数据-取费表'!B19/2+'数据-取费表'!B20))-1)),0)</f>
        <v>358710</v>
      </c>
      <c r="D24" s="283"/>
      <c r="E24" s="283"/>
      <c r="F24" s="284"/>
      <c r="G24" s="285" t="s">
        <v>2455</v>
      </c>
    </row>
    <row r="25" spans="1:7" s="259" customFormat="1" ht="24">
      <c r="A25" s="955" t="s">
        <v>2345</v>
      </c>
      <c r="B25" s="260" t="s">
        <v>2456</v>
      </c>
      <c r="C25" s="1385">
        <f ca="1">ROUND(IF('数据-取费表'!B22&lt;=1,C20*F22*'数据-取费表'!B22/2,C20*(POWER((1+F22),'数据-取费表'!B22/2)-1)),0)</f>
        <v>7174</v>
      </c>
      <c r="D25" s="283"/>
      <c r="E25" s="286"/>
      <c r="F25" s="284"/>
      <c r="G25" s="287" t="s">
        <v>2457</v>
      </c>
    </row>
    <row r="26" spans="1:7" s="259" customFormat="1">
      <c r="A26" s="955" t="s">
        <v>795</v>
      </c>
      <c r="B26" s="260" t="s">
        <v>2380</v>
      </c>
      <c r="C26" s="283">
        <f ca="1">ROUND(IF('数据-取费表'!B22&lt;=1,F21*F22*'数据-取费表'!B22/2,F21*(POWER((1+F22),'数据-取费表'!B22/2)-1)),4)</f>
        <v>4.0000000000000002E-4</v>
      </c>
      <c r="D26" s="283"/>
      <c r="E26" s="286"/>
      <c r="F26" s="284"/>
      <c r="G26" s="288"/>
    </row>
    <row r="27" spans="1:7" s="259" customFormat="1" ht="24.75">
      <c r="A27" s="300" t="s">
        <v>2381</v>
      </c>
      <c r="B27" s="289" t="s">
        <v>2382</v>
      </c>
      <c r="C27" s="290">
        <f ca="1">C28</f>
        <v>5046684</v>
      </c>
      <c r="D27" s="280">
        <f ca="1">C29</f>
        <v>6.0000000000000001E-3</v>
      </c>
      <c r="E27" s="281" t="s">
        <v>2383</v>
      </c>
      <c r="F27" s="291">
        <f ca="1">IF(B1="",'数据-取费表'!Q16,INDIRECT("'数据-取费表'!q"&amp;$G$1))</f>
        <v>0.3</v>
      </c>
      <c r="G27" s="292" t="s">
        <v>2384</v>
      </c>
    </row>
    <row r="28" spans="1:7" s="259" customFormat="1" ht="13.5" customHeight="1">
      <c r="A28" s="955" t="s">
        <v>791</v>
      </c>
      <c r="B28" s="293" t="s">
        <v>2385</v>
      </c>
      <c r="C28" s="294">
        <f ca="1">ROUND((C5+C19+C20)*F27,0)</f>
        <v>5046684</v>
      </c>
      <c r="D28" s="280"/>
      <c r="E28" s="281"/>
      <c r="F28" s="291"/>
      <c r="G28" s="292"/>
    </row>
    <row r="29" spans="1:7" s="259" customFormat="1" ht="13.5" customHeight="1">
      <c r="A29" s="955" t="s">
        <v>792</v>
      </c>
      <c r="B29" s="293" t="s">
        <v>2386</v>
      </c>
      <c r="C29" s="283">
        <f ca="1">ROUND(C21*F27,4)</f>
        <v>6.0000000000000001E-3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24550211</v>
      </c>
      <c r="D31" s="275"/>
      <c r="E31" s="256"/>
      <c r="F31" s="295"/>
      <c r="G31" s="279" t="s">
        <v>2391</v>
      </c>
    </row>
    <row r="32" spans="1:7" s="253" customFormat="1" ht="15.75">
      <c r="A32" s="297" t="s">
        <v>2458</v>
      </c>
      <c r="B32" s="298"/>
      <c r="C32" s="298"/>
      <c r="D32" s="298"/>
      <c r="E32" s="298"/>
      <c r="F32" s="298"/>
      <c r="G32" s="299"/>
    </row>
    <row r="33" spans="1:7" s="259" customFormat="1" ht="13.5" customHeight="1">
      <c r="A33" s="300" t="s">
        <v>782</v>
      </c>
      <c r="B33" s="255" t="s">
        <v>2459</v>
      </c>
      <c r="C33" s="301">
        <f ca="1">SUM(C34:C38)</f>
        <v>166399733</v>
      </c>
      <c r="D33" s="277"/>
      <c r="E33" s="257"/>
      <c r="F33" s="286"/>
      <c r="G33" s="279"/>
    </row>
    <row r="34" spans="1:7" s="303" customFormat="1" ht="13.5" customHeight="1">
      <c r="A34" s="955" t="s">
        <v>791</v>
      </c>
      <c r="B34" s="260" t="s">
        <v>2394</v>
      </c>
      <c r="C34" s="265">
        <f ca="1">ROUND(IF(B1="",SUMPRODUCT('数据-取费表'!K6:K14,'数据-取费表'!L6:L14),INDIRECT("'数据-取费表'!l"&amp;$G$1)*INDIRECT("'数据-取费表'!k"&amp;$G$1)+'数据-取费表'!L14*INDIRECT("'数据-取费表'!S"&amp;$G$1)),0)</f>
        <v>148500955</v>
      </c>
      <c r="D34" s="262"/>
      <c r="E34" s="265"/>
      <c r="F34" s="302"/>
      <c r="G34" s="264"/>
    </row>
    <row r="35" spans="1:7" ht="13.5" customHeight="1">
      <c r="A35" s="955" t="s">
        <v>796</v>
      </c>
      <c r="B35" s="260" t="s">
        <v>2396</v>
      </c>
      <c r="C35" s="265">
        <f ca="1">ROUND(C34*F35,0)</f>
        <v>7425048</v>
      </c>
      <c r="D35" s="265"/>
      <c r="E35" s="265"/>
      <c r="F35" s="304">
        <f>'数据-取费表'!B33</f>
        <v>0.05</v>
      </c>
      <c r="G35" s="264" t="s">
        <v>2397</v>
      </c>
    </row>
    <row r="36" spans="1:7" ht="24">
      <c r="A36" s="955" t="s">
        <v>797</v>
      </c>
      <c r="B36" s="260" t="s">
        <v>2398</v>
      </c>
      <c r="C36" s="265">
        <f ca="1">ROUND(IF(B1="",SUM('数据-取费表'!AP6:AP13)*F36,IF(INDIRECT("'数据-取费表'!c"&amp;$G$1)="住宅",INDIRECT("'数据-取费表'!k"&amp;$G$1)*INDIRECT("'数据-取费表'!l"&amp;$G$1)*F36,0)),0)</f>
        <v>0</v>
      </c>
      <c r="D36" s="265"/>
      <c r="E36" s="265"/>
      <c r="F36" s="304">
        <f>'数据-取费表'!B34</f>
        <v>0</v>
      </c>
      <c r="G36" s="305" t="s">
        <v>2399</v>
      </c>
    </row>
    <row r="37" spans="1:7" s="303" customFormat="1" ht="13.5" customHeight="1">
      <c r="A37" s="955" t="s">
        <v>798</v>
      </c>
      <c r="B37" s="260" t="s">
        <v>2400</v>
      </c>
      <c r="C37" s="294">
        <f ca="1">ROUND(E37*D37,0)</f>
        <v>8246216</v>
      </c>
      <c r="D37" s="262">
        <f ca="1">D19</f>
        <v>41231.079999999994</v>
      </c>
      <c r="E37" s="294">
        <f>'数据-取费表'!B35</f>
        <v>200</v>
      </c>
      <c r="F37" s="304"/>
      <c r="G37" s="306"/>
    </row>
    <row r="38" spans="1:7" ht="13.5" customHeight="1">
      <c r="A38" s="955" t="s">
        <v>799</v>
      </c>
      <c r="B38" s="260" t="s">
        <v>2402</v>
      </c>
      <c r="C38" s="265">
        <f ca="1">ROUND(C34*F38,0)</f>
        <v>2227514</v>
      </c>
      <c r="D38" s="265"/>
      <c r="E38" s="265"/>
      <c r="F38" s="304">
        <f>'数据-取费表'!B36</f>
        <v>1.4999999999999999E-2</v>
      </c>
      <c r="G38" s="264" t="s">
        <v>2397</v>
      </c>
    </row>
    <row r="39" spans="1:7" s="259" customFormat="1" ht="13.5" customHeight="1">
      <c r="A39" s="300" t="s">
        <v>2403</v>
      </c>
      <c r="B39" s="255" t="s">
        <v>2404</v>
      </c>
      <c r="C39" s="277">
        <f ca="1">ROUND(C33*F20,0)</f>
        <v>3327995</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3691578</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ROUND(IF('数据-取费表'!B22&lt;=1,C33*F22*'数据-取费表'!B20/2,C33*(POWER((1+F22),'数据-取费表'!B20/2)-1)),0)</f>
        <v>3619194</v>
      </c>
      <c r="D42" s="283"/>
      <c r="E42" s="283"/>
      <c r="F42" s="284"/>
      <c r="G42" s="3282" t="s">
        <v>2460</v>
      </c>
    </row>
    <row r="43" spans="1:7" ht="13.5" customHeight="1">
      <c r="A43" s="955" t="s">
        <v>792</v>
      </c>
      <c r="B43" s="260" t="s">
        <v>2414</v>
      </c>
      <c r="C43" s="283">
        <f ca="1">ROUND(IF('数据-取费表'!B22&lt;=1,C39*F22*'数据-取费表'!B20/2,C39*(POWER((1+F22),'数据-取费表'!B20/2)-1)),0)</f>
        <v>72384</v>
      </c>
      <c r="D43" s="283"/>
      <c r="E43" s="283"/>
      <c r="F43" s="284"/>
      <c r="G43" s="3283"/>
    </row>
    <row r="44" spans="1:7" ht="13.5" customHeight="1">
      <c r="A44" s="955" t="s">
        <v>793</v>
      </c>
      <c r="B44" s="260" t="s">
        <v>2415</v>
      </c>
      <c r="C44" s="283">
        <f ca="1">ROUND(IF('数据-取费表'!B22&lt;=1,C40*F22*'数据-取费表'!B20/2,C40*(POWER((1+F22),'数据-取费表'!B20/2)-1)),4)</f>
        <v>4.0000000000000002E-4</v>
      </c>
      <c r="D44" s="283"/>
      <c r="E44" s="283"/>
      <c r="F44" s="284"/>
      <c r="G44" s="3284"/>
    </row>
    <row r="45" spans="1:7" s="259" customFormat="1" ht="13.5" customHeight="1">
      <c r="A45" s="300" t="s">
        <v>2416</v>
      </c>
      <c r="B45" s="289" t="s">
        <v>2382</v>
      </c>
      <c r="C45" s="290">
        <f ca="1">C46</f>
        <v>50918318</v>
      </c>
      <c r="D45" s="280">
        <f ca="1">C47</f>
        <v>6.0000000000000001E-3</v>
      </c>
      <c r="E45" s="281" t="s">
        <v>2408</v>
      </c>
      <c r="F45" s="291"/>
      <c r="G45" s="292" t="s">
        <v>2417</v>
      </c>
    </row>
    <row r="46" spans="1:7" s="259" customFormat="1" ht="13.5" customHeight="1">
      <c r="A46" s="955" t="s">
        <v>791</v>
      </c>
      <c r="B46" s="293" t="s">
        <v>2418</v>
      </c>
      <c r="C46" s="294">
        <f ca="1">ROUND((C33+C39)*F27,0)</f>
        <v>50918318</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307">
        <f>ROUND(F30/(1+'数据-取费表'!C42),4)</f>
        <v>5.33E-2</v>
      </c>
      <c r="D48" s="281" t="s">
        <v>2408</v>
      </c>
      <c r="E48" s="277"/>
      <c r="F48" s="282"/>
      <c r="G48" s="279" t="s">
        <v>2421</v>
      </c>
    </row>
    <row r="49" spans="1:7" ht="16.5" customHeight="1">
      <c r="A49" s="300" t="s">
        <v>2387</v>
      </c>
      <c r="B49" s="255" t="s">
        <v>2461</v>
      </c>
      <c r="C49" s="277">
        <f ca="1">ROUND((C33+C39+C41+C45)/(1-C40-D41-D45-C48),0)</f>
        <v>243765755</v>
      </c>
      <c r="D49" s="277"/>
      <c r="E49" s="277"/>
      <c r="F49" s="309"/>
      <c r="G49" s="279" t="s">
        <v>2423</v>
      </c>
    </row>
    <row r="50" spans="1:7" s="303" customFormat="1">
      <c r="A50" s="300" t="s">
        <v>2424</v>
      </c>
      <c r="B50" s="255" t="s">
        <v>2425</v>
      </c>
      <c r="C50" s="277"/>
      <c r="D50" s="277"/>
      <c r="E50" s="277"/>
      <c r="F50" s="309">
        <f>IF('数据-取费表'!B24=0,'数据-取费表'!N16,1)</f>
        <v>1</v>
      </c>
      <c r="G50" s="292"/>
    </row>
    <row r="51" spans="1:7" ht="16.5" customHeight="1">
      <c r="A51" s="300" t="s">
        <v>2427</v>
      </c>
      <c r="B51" s="255" t="s">
        <v>2462</v>
      </c>
      <c r="C51" s="277">
        <f ca="1">ROUND(C49*F50,0)</f>
        <v>243765755</v>
      </c>
      <c r="D51" s="277"/>
      <c r="E51" s="277"/>
      <c r="F51" s="309"/>
      <c r="G51" s="279" t="s">
        <v>2429</v>
      </c>
    </row>
    <row r="52" spans="1:7" s="253" customFormat="1" ht="16.5" thickBot="1">
      <c r="A52" s="310" t="s">
        <v>2430</v>
      </c>
      <c r="B52" s="311"/>
      <c r="C52" s="312">
        <f ca="1">C31+C51</f>
        <v>268315966</v>
      </c>
      <c r="D52" s="311"/>
      <c r="E52" s="311"/>
      <c r="F52" s="311"/>
      <c r="G52" s="313"/>
    </row>
    <row r="55" spans="1:7" ht="15">
      <c r="B55" s="315" t="s">
        <v>2431</v>
      </c>
      <c r="C55" s="316"/>
    </row>
    <row r="56" spans="1:7">
      <c r="B56" s="318" t="s">
        <v>1515</v>
      </c>
      <c r="C56" s="320">
        <f ca="1">1-C57</f>
        <v>9.099999999999997E-2</v>
      </c>
    </row>
    <row r="57" spans="1:7">
      <c r="B57" s="318" t="s">
        <v>1516</v>
      </c>
      <c r="C57" s="319">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6" t="str">
        <f>项目基本情况!B1</f>
        <v>北京市出让国有建设用地使用权及在建建筑物房地产抵押价值预评估</v>
      </c>
      <c r="C37" s="3096"/>
      <c r="D37" s="3096"/>
      <c r="E37" s="3096"/>
      <c r="F37" s="3096"/>
      <c r="G37" s="3096"/>
      <c r="H37" s="3096"/>
      <c r="I37" s="3096"/>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4"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2330</v>
      </c>
      <c r="B1" s="1942"/>
      <c r="C1" s="243"/>
      <c r="D1" s="243"/>
      <c r="E1" s="243"/>
      <c r="F1" s="243"/>
      <c r="G1" s="1383">
        <f>MATCH(B1,'数据-取费表'!A6:A16,0)+5</f>
        <v>8</v>
      </c>
    </row>
    <row r="2" spans="1:9" s="245" customFormat="1" ht="18" customHeight="1">
      <c r="A2" s="246" t="s">
        <v>2331</v>
      </c>
      <c r="B2" s="247">
        <f ca="1">IF(D2="——",C52,C52-E2)</f>
        <v>136833</v>
      </c>
      <c r="C2" s="244" t="s">
        <v>2332</v>
      </c>
      <c r="D2" s="2551" t="s">
        <v>70</v>
      </c>
      <c r="E2" s="1444" t="e">
        <f ca="1">SUMIF(INDIRECT("'"&amp;G2&amp;"'"&amp;"!A:A"),"承租人权益价值",INDIRECT("'"&amp;G2&amp;"'"&amp;"!c:c"))</f>
        <v>#REF!</v>
      </c>
      <c r="F2" s="2552" t="s">
        <v>2332</v>
      </c>
      <c r="G2" s="2553"/>
    </row>
    <row r="3" spans="1:9" s="245" customFormat="1" ht="18" customHeight="1" thickBot="1">
      <c r="A3" s="248" t="s">
        <v>2333</v>
      </c>
      <c r="B3" s="249">
        <f ca="1">ROUND(B2*10000/(IF(B1="",'数据-汇总表'!E3,INDIRECT("'数据-取费表'!k"&amp;$G$1))),0)</f>
        <v>33187</v>
      </c>
      <c r="C3" s="244" t="s">
        <v>2334</v>
      </c>
      <c r="D3" s="244"/>
      <c r="E3" s="244"/>
      <c r="F3" s="244"/>
      <c r="G3" s="244"/>
    </row>
    <row r="4" spans="1:9" s="253" customFormat="1" ht="15.75">
      <c r="A4" s="250" t="s">
        <v>2335</v>
      </c>
      <c r="B4" s="251"/>
      <c r="C4" s="251"/>
      <c r="D4" s="251"/>
      <c r="E4" s="251"/>
      <c r="F4" s="251"/>
      <c r="G4" s="252"/>
    </row>
    <row r="5" spans="1:9" s="259" customFormat="1" ht="13.5" customHeight="1">
      <c r="A5" s="300" t="s">
        <v>2336</v>
      </c>
      <c r="B5" s="255" t="s">
        <v>2337</v>
      </c>
      <c r="C5" s="256">
        <f ca="1">C6+C7+C8</f>
        <v>80123</v>
      </c>
      <c r="D5" s="256" t="s">
        <v>2338</v>
      </c>
      <c r="E5" s="257" t="s">
        <v>2339</v>
      </c>
      <c r="F5" s="257" t="s">
        <v>2340</v>
      </c>
      <c r="G5" s="258"/>
    </row>
    <row r="6" spans="1:9" s="259" customFormat="1" ht="13.5" customHeight="1">
      <c r="A6" s="953" t="s">
        <v>2341</v>
      </c>
      <c r="B6" s="260" t="s">
        <v>2342</v>
      </c>
      <c r="C6" s="261">
        <f ca="1">'基准地价修正（地上2层）'!E33+'基准地价修正（地上2层）'!E34+'基准地价修正（地上2层）'!E39+'基准地价修正（地上2层）'!V2+'基准地价修正（地上2层）'!V3</f>
        <v>76951</v>
      </c>
      <c r="D6" s="262"/>
      <c r="E6" s="263"/>
      <c r="F6" s="263"/>
      <c r="G6" s="264"/>
    </row>
    <row r="7" spans="1:9" s="259" customFormat="1" ht="13.5" customHeight="1">
      <c r="A7" s="953" t="s">
        <v>2343</v>
      </c>
      <c r="B7" s="260" t="s">
        <v>2344</v>
      </c>
      <c r="C7" s="265">
        <f ca="1">ROUND(C6*F7,0)</f>
        <v>2347</v>
      </c>
      <c r="D7" s="265"/>
      <c r="E7" s="263"/>
      <c r="F7" s="266">
        <f>'数据-取费表'!B48+'数据-取费表'!B49</f>
        <v>3.0499999999999999E-2</v>
      </c>
      <c r="G7" s="264"/>
    </row>
    <row r="8" spans="1:9" s="268" customFormat="1">
      <c r="A8" s="953" t="s">
        <v>2345</v>
      </c>
      <c r="B8" s="260" t="s">
        <v>2346</v>
      </c>
      <c r="C8" s="3095">
        <f ca="1">IF(G8="已包含在土地购买价格中","0",IF(B1="",'数据-取费表'!B29,IF(G9="全部缴纳",C9+C10,H9)))</f>
        <v>825</v>
      </c>
      <c r="D8" s="267"/>
      <c r="E8" s="265"/>
      <c r="F8" s="266"/>
      <c r="G8" s="2554" t="s">
        <v>3602</v>
      </c>
    </row>
    <row r="9" spans="1:9" s="259" customFormat="1" ht="13.5" customHeight="1">
      <c r="A9" s="954" t="s">
        <v>800</v>
      </c>
      <c r="B9" s="269" t="s">
        <v>2347</v>
      </c>
      <c r="C9" s="270">
        <f ca="1">ROUND(D9*E9/10000,0)</f>
        <v>0</v>
      </c>
      <c r="D9" s="1036">
        <f ca="1">IF(B1="",'数据-汇总表'!E5,IF(INDIRECT("'数据-取费表'!c"&amp;$G$1)="住宅",INDIRECT("'数据-取费表'!k"&amp;$G$1),0))</f>
        <v>0</v>
      </c>
      <c r="E9" s="270">
        <f>'数据-取费表'!B27</f>
        <v>0</v>
      </c>
      <c r="F9" s="266"/>
      <c r="G9" s="2555" t="s">
        <v>3603</v>
      </c>
      <c r="H9" s="1394"/>
      <c r="I9" s="2556" t="s">
        <v>2348</v>
      </c>
    </row>
    <row r="10" spans="1:9" s="259" customFormat="1" ht="13.5" customHeight="1">
      <c r="A10" s="954" t="s">
        <v>801</v>
      </c>
      <c r="B10" s="269" t="s">
        <v>2349</v>
      </c>
      <c r="C10" s="270">
        <f ca="1">ROUND(D10*E10/10000,0)</f>
        <v>825</v>
      </c>
      <c r="D10" s="1036">
        <f ca="1">IF(B1="",'数据-汇总表'!E6,IF(INDIRECT("'数据-取费表'!c"&amp;$G$1)="住宅",INDIRECT("'数据-取费表'!s"&amp;$G$1),INDIRECT("'数据-取费表'!k"&amp;$G$1)+INDIRECT("'数据-取费表'!s"&amp;$G$1)))</f>
        <v>41231.079999999994</v>
      </c>
      <c r="E10" s="270">
        <f>'数据-取费表'!B28</f>
        <v>200</v>
      </c>
      <c r="F10" s="266"/>
      <c r="G10" s="271"/>
    </row>
    <row r="11" spans="1:9" s="259" customFormat="1" ht="13.5" hidden="1" customHeight="1">
      <c r="A11" s="272" t="s">
        <v>7</v>
      </c>
      <c r="B11" s="260" t="s">
        <v>2350</v>
      </c>
      <c r="C11" s="256"/>
      <c r="D11" s="1038"/>
      <c r="E11" s="263"/>
      <c r="F11" s="263"/>
      <c r="G11" s="264"/>
    </row>
    <row r="12" spans="1:9" s="259" customFormat="1" ht="13.5" hidden="1" customHeight="1">
      <c r="A12" s="272" t="s">
        <v>8</v>
      </c>
      <c r="B12" s="260" t="s">
        <v>2351</v>
      </c>
      <c r="C12" s="256">
        <v>0</v>
      </c>
      <c r="D12" s="1038"/>
      <c r="E12" s="273"/>
      <c r="F12" s="266">
        <v>3.0499999999999999E-2</v>
      </c>
      <c r="G12" s="264"/>
    </row>
    <row r="13" spans="1:9" s="259" customFormat="1" ht="13.5" hidden="1" customHeight="1">
      <c r="A13" s="272" t="s">
        <v>9</v>
      </c>
      <c r="B13" s="260" t="s">
        <v>2352</v>
      </c>
      <c r="C13" s="256"/>
      <c r="D13" s="1038"/>
      <c r="E13" s="263"/>
      <c r="F13" s="263"/>
      <c r="G13" s="264"/>
    </row>
    <row r="14" spans="1:9" s="259" customFormat="1" ht="13.5" hidden="1" customHeight="1">
      <c r="A14" s="272" t="s">
        <v>10</v>
      </c>
      <c r="B14" s="260" t="s">
        <v>2353</v>
      </c>
      <c r="C14" s="256"/>
      <c r="D14" s="1038"/>
      <c r="E14" s="263"/>
      <c r="F14" s="263"/>
      <c r="G14" s="264" t="s">
        <v>2354</v>
      </c>
    </row>
    <row r="15" spans="1:9" s="259" customFormat="1" ht="13.5" hidden="1" customHeight="1">
      <c r="A15" s="272" t="s">
        <v>11</v>
      </c>
      <c r="B15" s="260" t="s">
        <v>2355</v>
      </c>
      <c r="C15" s="265"/>
      <c r="D15" s="1038"/>
      <c r="E15" s="263"/>
      <c r="F15" s="263"/>
      <c r="G15" s="264" t="s">
        <v>2356</v>
      </c>
    </row>
    <row r="16" spans="1:9" s="259" customFormat="1" ht="13.5" hidden="1" customHeight="1">
      <c r="A16" s="272" t="s">
        <v>12</v>
      </c>
      <c r="B16" s="260" t="s">
        <v>2353</v>
      </c>
      <c r="C16" s="265"/>
      <c r="D16" s="1038"/>
      <c r="E16" s="263"/>
      <c r="F16" s="263"/>
      <c r="G16" s="264"/>
    </row>
    <row r="17" spans="1:7" s="259" customFormat="1" ht="13.5" hidden="1" customHeight="1">
      <c r="A17" s="272" t="s">
        <v>13</v>
      </c>
      <c r="B17" s="260" t="s">
        <v>2357</v>
      </c>
      <c r="C17" s="274"/>
      <c r="D17" s="1039"/>
      <c r="E17" s="274"/>
      <c r="F17" s="274"/>
      <c r="G17" s="264" t="s">
        <v>2356</v>
      </c>
    </row>
    <row r="18" spans="1:7" s="259" customFormat="1" ht="13.5" hidden="1" customHeight="1">
      <c r="A18" s="272" t="s">
        <v>14</v>
      </c>
      <c r="B18" s="260" t="s">
        <v>2358</v>
      </c>
      <c r="C18" s="265">
        <v>0</v>
      </c>
      <c r="D18" s="1038"/>
      <c r="E18" s="263"/>
      <c r="F18" s="266">
        <v>3.0499999999999999E-2</v>
      </c>
      <c r="G18" s="264" t="s">
        <v>2359</v>
      </c>
    </row>
    <row r="19" spans="1:7" s="268" customFormat="1" ht="13.5" customHeight="1">
      <c r="A19" s="300" t="s">
        <v>2360</v>
      </c>
      <c r="B19" s="255" t="s">
        <v>2361</v>
      </c>
      <c r="C19" s="256" t="str">
        <f>IF(G19="已包含在土地取得成本中","0",ROUND(D19*E19/10000,0))</f>
        <v>0</v>
      </c>
      <c r="D19" s="1040">
        <f ca="1">D9+D10</f>
        <v>41231.079999999994</v>
      </c>
      <c r="E19" s="256">
        <f>'数据-取费表'!B31</f>
        <v>200</v>
      </c>
      <c r="F19" s="276"/>
      <c r="G19" s="2554" t="s">
        <v>3604</v>
      </c>
    </row>
    <row r="20" spans="1:7" s="259" customFormat="1" ht="13.5" customHeight="1">
      <c r="A20" s="300" t="s">
        <v>2362</v>
      </c>
      <c r="B20" s="255" t="s">
        <v>2363</v>
      </c>
      <c r="C20" s="277">
        <f ca="1">ROUND((C5+C19)*F20,0)</f>
        <v>1602</v>
      </c>
      <c r="D20" s="277"/>
      <c r="E20" s="277"/>
      <c r="F20" s="278">
        <f>'数据-取费表'!B37</f>
        <v>0.02</v>
      </c>
      <c r="G20" s="279" t="s">
        <v>2364</v>
      </c>
    </row>
    <row r="21" spans="1:7" s="259" customFormat="1" ht="13.5" customHeight="1">
      <c r="A21" s="300" t="s">
        <v>2365</v>
      </c>
      <c r="B21" s="255" t="s">
        <v>2366</v>
      </c>
      <c r="C21" s="280">
        <f>F21</f>
        <v>0.02</v>
      </c>
      <c r="D21" s="281" t="s">
        <v>2367</v>
      </c>
      <c r="E21" s="277"/>
      <c r="F21" s="278">
        <f>'数据-取费表'!B38</f>
        <v>0.02</v>
      </c>
      <c r="G21" s="279" t="s">
        <v>2368</v>
      </c>
    </row>
    <row r="22" spans="1:7" s="259" customFormat="1" ht="13.5" customHeight="1">
      <c r="A22" s="300" t="s">
        <v>2369</v>
      </c>
      <c r="B22" s="255" t="s">
        <v>2370</v>
      </c>
      <c r="C22" s="1358">
        <f ca="1">ROUND(SUM(C23:C25),0)</f>
        <v>3168</v>
      </c>
      <c r="D22" s="280">
        <f ca="1">C26</f>
        <v>4.0000000000000002E-4</v>
      </c>
      <c r="E22" s="281" t="s">
        <v>2367</v>
      </c>
      <c r="F22" s="282">
        <f ca="1">'数据-取费表'!B40</f>
        <v>4.3499999999999997E-2</v>
      </c>
      <c r="G22" s="279" t="str">
        <f>IF('数据-取费表'!B22&lt;=1,"单利计息","复利计息")</f>
        <v>单利计息</v>
      </c>
    </row>
    <row r="23" spans="1:7" s="259" customFormat="1" ht="13.5" customHeight="1">
      <c r="A23" s="955" t="s">
        <v>2371</v>
      </c>
      <c r="B23" s="260" t="s">
        <v>2372</v>
      </c>
      <c r="C23" s="1359">
        <f ca="1">ROUND(IF('数据-取费表'!B22&lt;=1,C5*F22*'数据-取费表'!B23,C5*(POWER((1+F22),'数据-取费表'!B23)-1)),0)</f>
        <v>3137</v>
      </c>
      <c r="D23" s="283"/>
      <c r="E23" s="283"/>
      <c r="F23" s="284"/>
      <c r="G23" s="285" t="s">
        <v>2373</v>
      </c>
    </row>
    <row r="24" spans="1:7" s="259" customFormat="1" ht="13.5" customHeight="1">
      <c r="A24" s="955" t="s">
        <v>2374</v>
      </c>
      <c r="B24" s="260" t="s">
        <v>2375</v>
      </c>
      <c r="C24" s="1359">
        <f ca="1">ROUND(IF('数据-取费表'!B22&lt;=1,C19*F22*('数据-取费表'!B19/2+'数据-取费表'!B21),C19*(POWER((1+F22),('数据-取费表'!B19/2+'数据-取费表'!B21))-1)),0)</f>
        <v>0</v>
      </c>
      <c r="D24" s="283"/>
      <c r="E24" s="283"/>
      <c r="F24" s="284"/>
      <c r="G24" s="285" t="s">
        <v>2376</v>
      </c>
    </row>
    <row r="25" spans="1:7" s="259" customFormat="1" ht="24">
      <c r="A25" s="955" t="s">
        <v>2377</v>
      </c>
      <c r="B25" s="260" t="s">
        <v>2378</v>
      </c>
      <c r="C25" s="1359">
        <f ca="1">ROUND(IF('数据-取费表'!B22&lt;=1,C20*F22*'数据-取费表'!B23/2,C20*(POWER((1+F22),'数据-取费表'!B23/2)-1)),0)</f>
        <v>31</v>
      </c>
      <c r="D25" s="283"/>
      <c r="E25" s="286"/>
      <c r="F25" s="284"/>
      <c r="G25" s="287" t="s">
        <v>2379</v>
      </c>
    </row>
    <row r="26" spans="1:7" s="259" customFormat="1">
      <c r="A26" s="955" t="s">
        <v>795</v>
      </c>
      <c r="B26" s="260" t="s">
        <v>2380</v>
      </c>
      <c r="C26" s="283">
        <f ca="1">ROUND(IF('数据-取费表'!B22&lt;=1,F21*F22*'数据-取费表'!B23/2,F21*(POWER((1+F22),'数据-取费表'!B23/2)-1)),4)</f>
        <v>4.0000000000000002E-4</v>
      </c>
      <c r="D26" s="283"/>
      <c r="E26" s="286"/>
      <c r="F26" s="284"/>
      <c r="G26" s="288"/>
    </row>
    <row r="27" spans="1:7" s="259" customFormat="1" ht="24.75">
      <c r="A27" s="300" t="s">
        <v>2381</v>
      </c>
      <c r="B27" s="289" t="s">
        <v>2382</v>
      </c>
      <c r="C27" s="290">
        <f ca="1">C28</f>
        <v>22066</v>
      </c>
      <c r="D27" s="280">
        <f ca="1">C29</f>
        <v>5.4000000000000003E-3</v>
      </c>
      <c r="E27" s="281" t="s">
        <v>2383</v>
      </c>
      <c r="F27" s="291">
        <f ca="1">IF(B1="",'数据-取费表'!Q16,INDIRECT("'数据-取费表'!q"&amp;$G$1))</f>
        <v>0.3</v>
      </c>
      <c r="G27" s="292" t="s">
        <v>2384</v>
      </c>
    </row>
    <row r="28" spans="1:7" s="259" customFormat="1" ht="13.5" customHeight="1">
      <c r="A28" s="955" t="s">
        <v>791</v>
      </c>
      <c r="B28" s="293" t="s">
        <v>2385</v>
      </c>
      <c r="C28" s="294">
        <f ca="1">ROUND((C5+C19+C20)*F27*'数据-取费表'!B21/'数据-取费表'!B20,0)</f>
        <v>22066</v>
      </c>
      <c r="D28" s="280"/>
      <c r="E28" s="281"/>
      <c r="F28" s="291"/>
      <c r="G28" s="292"/>
    </row>
    <row r="29" spans="1:7" s="259" customFormat="1" ht="13.5" customHeight="1">
      <c r="A29" s="955" t="s">
        <v>792</v>
      </c>
      <c r="B29" s="293" t="s">
        <v>2386</v>
      </c>
      <c r="C29" s="283">
        <f ca="1">ROUND(C21*F27*'数据-取费表'!B21/'数据-取费表'!B20,4)</f>
        <v>5.4000000000000003E-3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116146</v>
      </c>
      <c r="D31" s="275"/>
      <c r="E31" s="256"/>
      <c r="F31" s="295"/>
      <c r="G31" s="279" t="s">
        <v>2391</v>
      </c>
    </row>
    <row r="32" spans="1:7" s="253" customFormat="1" ht="15.75">
      <c r="A32" s="297" t="s">
        <v>2392</v>
      </c>
      <c r="B32" s="298"/>
      <c r="C32" s="298"/>
      <c r="D32" s="298"/>
      <c r="E32" s="298"/>
      <c r="F32" s="298"/>
      <c r="G32" s="299"/>
    </row>
    <row r="33" spans="1:7" s="259" customFormat="1" ht="13.5" customHeight="1">
      <c r="A33" s="300" t="s">
        <v>782</v>
      </c>
      <c r="B33" s="255" t="s">
        <v>2393</v>
      </c>
      <c r="C33" s="301">
        <f ca="1">SUM(C34:C38)</f>
        <v>14144</v>
      </c>
      <c r="D33" s="277"/>
      <c r="E33" s="257"/>
      <c r="F33" s="286"/>
      <c r="G33" s="279"/>
    </row>
    <row r="34" spans="1:7" s="303" customFormat="1" ht="13.5" customHeight="1">
      <c r="A34" s="955" t="s">
        <v>791</v>
      </c>
      <c r="B34" s="260" t="s">
        <v>2394</v>
      </c>
      <c r="C34" s="265">
        <f ca="1">IF(B1="",IF(F34=100%,'数据-取费表'!M16,'数据-取费表'!O16),IF(F34=100%,INDIRECT("'数据-取费表'!m"&amp;$G$1)+INDIRECT("'数据-取费表'!t"&amp;$G$1),INDIRECT("'数据-取费表'!o"&amp;$G$1)+INDIRECT("'数据-取费表'!aq"&amp;$G$1)))</f>
        <v>12623</v>
      </c>
      <c r="D34" s="262"/>
      <c r="E34" s="265"/>
      <c r="F34" s="302">
        <f ca="1">IF('数据-取费表'!B24=0,1,IF(B1="",'数据-取费表'!N16,INDIRECT("'数据-取费表'!n"&amp;$G$1)))</f>
        <v>0.85</v>
      </c>
      <c r="G34" s="264" t="s">
        <v>2395</v>
      </c>
    </row>
    <row r="35" spans="1:7" ht="13.5" customHeight="1">
      <c r="A35" s="955" t="s">
        <v>796</v>
      </c>
      <c r="B35" s="260" t="s">
        <v>2396</v>
      </c>
      <c r="C35" s="265">
        <f ca="1">ROUND(C34*F35,0)</f>
        <v>631</v>
      </c>
      <c r="D35" s="265"/>
      <c r="E35" s="265"/>
      <c r="F35" s="304">
        <f>'数据-取费表'!B33</f>
        <v>0.05</v>
      </c>
      <c r="G35" s="264" t="s">
        <v>2397</v>
      </c>
    </row>
    <row r="36" spans="1:7" ht="24">
      <c r="A36" s="955" t="s">
        <v>797</v>
      </c>
      <c r="B36" s="260" t="s">
        <v>2398</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2399</v>
      </c>
    </row>
    <row r="37" spans="1:7" s="303" customFormat="1" ht="13.5" customHeight="1">
      <c r="A37" s="955" t="s">
        <v>798</v>
      </c>
      <c r="B37" s="260" t="s">
        <v>2400</v>
      </c>
      <c r="C37" s="294">
        <f ca="1">ROUND(E37*D37*F34/10000,0)</f>
        <v>701</v>
      </c>
      <c r="D37" s="262">
        <f ca="1">D19</f>
        <v>41231.079999999994</v>
      </c>
      <c r="E37" s="294">
        <f>'数据-取费表'!B35</f>
        <v>200</v>
      </c>
      <c r="F37" s="304"/>
      <c r="G37" s="306" t="s">
        <v>2401</v>
      </c>
    </row>
    <row r="38" spans="1:7" ht="13.5" customHeight="1">
      <c r="A38" s="955" t="s">
        <v>799</v>
      </c>
      <c r="B38" s="260" t="s">
        <v>2402</v>
      </c>
      <c r="C38" s="265">
        <f ca="1">ROUND(C34*F38,0)</f>
        <v>189</v>
      </c>
      <c r="D38" s="265"/>
      <c r="E38" s="265"/>
      <c r="F38" s="304">
        <f>'数据-取费表'!B36</f>
        <v>1.4999999999999999E-2</v>
      </c>
      <c r="G38" s="264" t="s">
        <v>2397</v>
      </c>
    </row>
    <row r="39" spans="1:7" s="259" customFormat="1" ht="13.5" customHeight="1">
      <c r="A39" s="300" t="s">
        <v>2403</v>
      </c>
      <c r="B39" s="255" t="s">
        <v>2404</v>
      </c>
      <c r="C39" s="277">
        <f ca="1">ROUND(C33*F20,0)</f>
        <v>283</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283</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ROUND(IF('数据-取费表'!B22&lt;=1,C33*F22*'数据-取费表'!B21/2,C33*(POWER((1+F22),'数据-取费表'!B21/2)-1)),0)</f>
        <v>277</v>
      </c>
      <c r="D42" s="283"/>
      <c r="E42" s="283"/>
      <c r="F42" s="284"/>
      <c r="G42" s="3282" t="s">
        <v>2413</v>
      </c>
    </row>
    <row r="43" spans="1:7" ht="13.5" customHeight="1">
      <c r="A43" s="955" t="s">
        <v>792</v>
      </c>
      <c r="B43" s="260" t="s">
        <v>2414</v>
      </c>
      <c r="C43" s="283">
        <f ca="1">ROUND(IF('数据-取费表'!B22&lt;=1,C39*F22*'数据-取费表'!B21/2,C39*(POWER((1+F22),'数据-取费表'!B21/2)-1)),0)</f>
        <v>6</v>
      </c>
      <c r="D43" s="283"/>
      <c r="E43" s="283"/>
      <c r="F43" s="284"/>
      <c r="G43" s="3283"/>
    </row>
    <row r="44" spans="1:7" ht="13.5" customHeight="1">
      <c r="A44" s="955" t="s">
        <v>793</v>
      </c>
      <c r="B44" s="260" t="s">
        <v>2415</v>
      </c>
      <c r="C44" s="283">
        <f ca="1">ROUND(IF('数据-取费表'!B22&lt;=1,C40*F22*'数据-取费表'!B21/2,C40*(POWER((1+F22),'数据-取费表'!B21/2)-1)),4)</f>
        <v>4.0000000000000002E-4</v>
      </c>
      <c r="D44" s="283"/>
      <c r="E44" s="283"/>
      <c r="F44" s="284"/>
      <c r="G44" s="3284"/>
    </row>
    <row r="45" spans="1:7" s="259" customFormat="1" ht="13.5" customHeight="1">
      <c r="A45" s="300" t="s">
        <v>2416</v>
      </c>
      <c r="B45" s="289" t="s">
        <v>2382</v>
      </c>
      <c r="C45" s="290">
        <f ca="1">C46</f>
        <v>4328</v>
      </c>
      <c r="D45" s="280">
        <f ca="1">C47</f>
        <v>6.0000000000000001E-3</v>
      </c>
      <c r="E45" s="281" t="s">
        <v>2408</v>
      </c>
      <c r="F45" s="291"/>
      <c r="G45" s="292" t="s">
        <v>2417</v>
      </c>
    </row>
    <row r="46" spans="1:7" s="259" customFormat="1" ht="13.5" customHeight="1">
      <c r="A46" s="955" t="s">
        <v>791</v>
      </c>
      <c r="B46" s="293" t="s">
        <v>2418</v>
      </c>
      <c r="C46" s="294">
        <f ca="1">ROUND((C33+C39)*F27,0)</f>
        <v>4328</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1733">
        <f>ROUND(F30/(1+'数据-取费表'!C42),4)</f>
        <v>5.33E-2</v>
      </c>
      <c r="D48" s="281" t="s">
        <v>2408</v>
      </c>
      <c r="E48" s="277"/>
      <c r="F48" s="282"/>
      <c r="G48" s="279" t="s">
        <v>2421</v>
      </c>
    </row>
    <row r="49" spans="1:7" ht="16.5" customHeight="1">
      <c r="A49" s="300" t="s">
        <v>2387</v>
      </c>
      <c r="B49" s="255" t="s">
        <v>2422</v>
      </c>
      <c r="C49" s="277">
        <f ca="1">ROUND((C33+C39+C41+C45)/(1-C40-D41-D45-C48),0)</f>
        <v>20687</v>
      </c>
      <c r="D49" s="277"/>
      <c r="E49" s="277"/>
      <c r="F49" s="309"/>
      <c r="G49" s="279" t="s">
        <v>2423</v>
      </c>
    </row>
    <row r="50" spans="1:7" s="303" customFormat="1" ht="24">
      <c r="A50" s="300" t="s">
        <v>2424</v>
      </c>
      <c r="B50" s="255" t="s">
        <v>2425</v>
      </c>
      <c r="C50" s="277"/>
      <c r="D50" s="277"/>
      <c r="E50" s="277"/>
      <c r="F50" s="309">
        <f>IF('数据-取费表'!B24=0,'数据-取费表'!N16,1)</f>
        <v>1</v>
      </c>
      <c r="G50" s="292" t="s">
        <v>2426</v>
      </c>
    </row>
    <row r="51" spans="1:7" ht="16.5" customHeight="1">
      <c r="A51" s="300" t="s">
        <v>2427</v>
      </c>
      <c r="B51" s="255" t="s">
        <v>2428</v>
      </c>
      <c r="C51" s="277">
        <f ca="1">ROUND(C49*F50,0)</f>
        <v>20687</v>
      </c>
      <c r="D51" s="277"/>
      <c r="E51" s="277"/>
      <c r="F51" s="309"/>
      <c r="G51" s="279" t="s">
        <v>2429</v>
      </c>
    </row>
    <row r="52" spans="1:7" s="253" customFormat="1" ht="16.5" thickBot="1">
      <c r="A52" s="310" t="s">
        <v>2430</v>
      </c>
      <c r="B52" s="311"/>
      <c r="C52" s="312">
        <f ca="1">C31+C51</f>
        <v>136833</v>
      </c>
      <c r="D52" s="311"/>
      <c r="E52" s="311"/>
      <c r="F52" s="311"/>
      <c r="G52" s="313"/>
    </row>
    <row r="55" spans="1:7" ht="15">
      <c r="B55" s="315" t="s">
        <v>2431</v>
      </c>
      <c r="C55" s="316"/>
    </row>
    <row r="56" spans="1:7">
      <c r="B56" s="318" t="s">
        <v>1515</v>
      </c>
      <c r="C56" s="320">
        <f ca="1">1-C57</f>
        <v>0.84899999999999998</v>
      </c>
    </row>
    <row r="57" spans="1:7">
      <c r="B57" s="318" t="s">
        <v>1516</v>
      </c>
      <c r="C57" s="319">
        <f ca="1">ROUND(C51/C52,3)</f>
        <v>0.151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Normal="100" zoomScaleSheetLayoutView="96" workbookViewId="0">
      <selection activeCell="A75" sqref="A75:XFD75"/>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29328.159999999996</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53828</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41193</v>
      </c>
      <c r="U2" s="1608">
        <f>面积!C38+面积!C39+面积!K28</f>
        <v>7912.07</v>
      </c>
      <c r="V2" s="1607">
        <f ca="1">ROUND(T2*U2/10000,0)</f>
        <v>32592</v>
      </c>
      <c r="W2" s="1611"/>
      <c r="X2" s="1611"/>
      <c r="Y2" s="1611"/>
      <c r="Z2" s="1611"/>
      <c r="AA2" s="1611"/>
      <c r="AB2" s="1611"/>
      <c r="AC2" s="1612"/>
      <c r="AD2" s="1613"/>
      <c r="AE2" s="1613"/>
      <c r="AF2" s="1613"/>
      <c r="AG2" s="1613"/>
      <c r="AH2" s="1613"/>
      <c r="AI2" s="1613"/>
      <c r="AJ2" s="1614"/>
    </row>
    <row r="3" spans="1:36" ht="15.75">
      <c r="A3" s="248" t="s">
        <v>2819</v>
      </c>
      <c r="B3" s="249">
        <f ca="1">ROUND(B2*10000/D1,0)</f>
        <v>18354</v>
      </c>
      <c r="C3" s="2725" t="s">
        <v>2820</v>
      </c>
      <c r="D3" s="2726" t="s">
        <v>2821</v>
      </c>
      <c r="E3" s="3092" t="s">
        <v>3608</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29568</v>
      </c>
      <c r="U3" s="1608">
        <f>面积!C40+面积!M28</f>
        <v>8145.36</v>
      </c>
      <c r="V3" s="1607">
        <f t="shared" ref="V3:V16" ca="1" si="1">ROUND(T3*U3/10000,0)</f>
        <v>24084</v>
      </c>
      <c r="W3" s="1611"/>
      <c r="X3" s="1611"/>
      <c r="Y3" s="1611"/>
      <c r="Z3" s="1611"/>
      <c r="AA3" s="1611"/>
      <c r="AB3" s="1611"/>
      <c r="AC3" s="1612"/>
      <c r="AD3" s="1613"/>
      <c r="AE3" s="1613"/>
      <c r="AF3" s="1613"/>
      <c r="AG3" s="1613"/>
      <c r="AH3" s="1613"/>
      <c r="AI3" s="1613"/>
      <c r="AJ3" s="1614"/>
    </row>
    <row r="4" spans="1:36" ht="15.75">
      <c r="A4" s="3299"/>
      <c r="B4" s="3300"/>
      <c r="C4" s="3300"/>
      <c r="D4" s="3301"/>
      <c r="E4" s="3301"/>
      <c r="F4" s="3301"/>
      <c r="G4" s="3301"/>
      <c r="H4" s="3301"/>
      <c r="I4" s="3301"/>
      <c r="J4" s="3302"/>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23855</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19140</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16299</v>
      </c>
      <c r="U6" s="1608"/>
      <c r="V6" s="1607">
        <f t="shared" ca="1" si="1"/>
        <v>0</v>
      </c>
      <c r="W6" s="1611"/>
      <c r="X6" s="1611"/>
      <c r="Y6" s="1611"/>
      <c r="Z6" s="1611"/>
      <c r="AA6" s="1611"/>
      <c r="AB6" s="1611"/>
      <c r="AC6" s="2739"/>
      <c r="AD6" s="2740"/>
      <c r="AE6" s="2740"/>
      <c r="AF6" s="2740"/>
      <c r="AG6" s="2740"/>
      <c r="AH6" s="2740"/>
      <c r="AI6" s="2740"/>
      <c r="AJ6" s="2741"/>
    </row>
    <row r="7" spans="1:36" ht="24">
      <c r="A7" s="3285"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14333</v>
      </c>
      <c r="U7" s="1608"/>
      <c r="V7" s="1607">
        <f t="shared" ca="1" si="1"/>
        <v>0</v>
      </c>
      <c r="W7" s="1821" t="s">
        <v>2835</v>
      </c>
      <c r="X7" s="1609" t="str">
        <f>G2</f>
        <v>三级</v>
      </c>
      <c r="Y7" s="1609" t="s">
        <v>2836</v>
      </c>
      <c r="Z7" s="1610">
        <f>G3</f>
        <v>2.76</v>
      </c>
      <c r="AA7" s="1611"/>
      <c r="AB7" s="1611"/>
      <c r="AC7" s="1612"/>
      <c r="AD7" s="1613"/>
      <c r="AE7" s="1613"/>
      <c r="AF7" s="1613"/>
      <c r="AG7" s="1613"/>
      <c r="AH7" s="1613"/>
      <c r="AI7" s="1613"/>
      <c r="AJ7" s="1614"/>
    </row>
    <row r="8" spans="1:36" ht="25.5">
      <c r="A8" s="3286"/>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6" t="s">
        <v>2840</v>
      </c>
      <c r="X8" s="3297"/>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86"/>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8"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6"/>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6"/>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8" t="s">
        <v>2864</v>
      </c>
      <c r="X11" s="1619" t="s">
        <v>2865</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85"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8"/>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3"/>
      <c r="B13" s="2768" t="s">
        <v>2871</v>
      </c>
      <c r="C13" s="2769" t="s">
        <v>2872</v>
      </c>
      <c r="D13" s="1813" t="s">
        <v>2873</v>
      </c>
      <c r="E13" s="181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98"/>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303"/>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4"/>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5" t="s">
        <v>2883</v>
      </c>
      <c r="B16" s="2749" t="s">
        <v>2884</v>
      </c>
      <c r="C16" s="1806">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6"/>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3614</v>
      </c>
      <c r="C21" s="941">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1815" t="s">
        <v>2908</v>
      </c>
      <c r="D22" s="1815">
        <f>IF(E22=G22,F22,IF(G3&lt;=10,ROUND(F22+(H22-F22)*(G3-E22)/(G22-E22),4),"——"))</f>
        <v>0.96630000000000005</v>
      </c>
      <c r="E22" s="917">
        <f>ROUNDDOWN(G3,1)</f>
        <v>2.7</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81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53828</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5070</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41193</v>
      </c>
      <c r="D29" s="2849">
        <f>面积!C40+面积!M28</f>
        <v>8145.36</v>
      </c>
      <c r="E29" s="946">
        <f ca="1">ROUND(C29*D29/10000,0)</f>
        <v>33553</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10298</v>
      </c>
      <c r="D30" s="2855"/>
      <c r="E30" s="946">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293" t="s">
        <v>2931</v>
      </c>
      <c r="B33" s="2865" t="s">
        <v>2932</v>
      </c>
      <c r="C33" s="207">
        <f ca="1">ROUND(D5*C19*C20*C24*F33,0)</f>
        <v>15478</v>
      </c>
      <c r="D33" s="2849">
        <f>面积!C36+面积!K31</f>
        <v>6960.32</v>
      </c>
      <c r="E33" s="201">
        <f ca="1">ROUND(C33*D33/10000,0)</f>
        <v>10773</v>
      </c>
      <c r="F33" s="201">
        <f>SUMIF(修正!A45:A56,G2,修正!B45:B56)</f>
        <v>0.7</v>
      </c>
      <c r="G33" s="201">
        <f t="shared" ref="G33:G39" ca="1" si="6">ROUND(IF(E2="工业",C33*$M$39,C33*$M$38),0)</f>
        <v>3870</v>
      </c>
      <c r="H33" s="201">
        <f>D33</f>
        <v>6960.32</v>
      </c>
      <c r="I33" s="201">
        <f ca="1">ROUND(G33*H33/10000,0)</f>
        <v>2694</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4"/>
      <c r="B34" s="2769" t="s">
        <v>2933</v>
      </c>
      <c r="C34" s="207">
        <f ca="1">ROUND(D5*C19*C20*C24*F34,0)</f>
        <v>8845</v>
      </c>
      <c r="D34" s="2849">
        <f>面积!C34+面积!M31</f>
        <v>7264.42</v>
      </c>
      <c r="E34" s="201">
        <f t="shared" ref="E34:E39" ca="1" si="7">ROUND(C34*D34/10000,0)</f>
        <v>6425</v>
      </c>
      <c r="F34" s="201">
        <f>SUMIF(修正!A45:A56,G2,修正!C45:C56)</f>
        <v>0.4</v>
      </c>
      <c r="G34" s="201">
        <f t="shared" ca="1" si="6"/>
        <v>2211</v>
      </c>
      <c r="H34" s="201">
        <f t="shared" ref="H34:H39" si="8">D34</f>
        <v>7264.42</v>
      </c>
      <c r="I34" s="201">
        <f t="shared" ref="I34:I39" ca="1" si="9">ROUND(G34*H34/10000,0)</f>
        <v>1606</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4"/>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295"/>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1814" t="s">
        <v>2944</v>
      </c>
      <c r="C47" s="1814" t="s">
        <v>2945</v>
      </c>
      <c r="D47" s="1814" t="s">
        <v>2946</v>
      </c>
      <c r="E47" s="820" t="s">
        <v>2947</v>
      </c>
      <c r="F47" s="2883" t="s">
        <v>2948</v>
      </c>
      <c r="G47" s="1814" t="s">
        <v>754</v>
      </c>
      <c r="H47" s="2884" t="s">
        <v>2949</v>
      </c>
      <c r="I47" s="1814"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1814"/>
      <c r="C58" s="1814" t="s">
        <v>2945</v>
      </c>
      <c r="D58" s="1814" t="s">
        <v>2946</v>
      </c>
      <c r="E58" s="820" t="s">
        <v>2947</v>
      </c>
      <c r="F58" s="2883" t="s">
        <v>2963</v>
      </c>
      <c r="G58" s="1814" t="s">
        <v>754</v>
      </c>
      <c r="H58" s="2884" t="s">
        <v>2949</v>
      </c>
      <c r="I58" s="1814"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1814"/>
      <c r="C69" s="1814" t="s">
        <v>2945</v>
      </c>
      <c r="D69" s="1814" t="s">
        <v>2946</v>
      </c>
      <c r="E69" s="820" t="s">
        <v>2947</v>
      </c>
      <c r="F69" s="2883" t="s">
        <v>2963</v>
      </c>
      <c r="G69" s="1814" t="s">
        <v>754</v>
      </c>
      <c r="H69" s="2884" t="s">
        <v>2949</v>
      </c>
      <c r="I69" s="1814"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1814"/>
      <c r="C80" s="1814" t="s">
        <v>2945</v>
      </c>
      <c r="D80" s="1814" t="s">
        <v>2946</v>
      </c>
      <c r="E80" s="820" t="s">
        <v>2947</v>
      </c>
      <c r="F80" s="2883" t="s">
        <v>2963</v>
      </c>
      <c r="G80" s="1814" t="s">
        <v>754</v>
      </c>
      <c r="H80" s="2884" t="s">
        <v>2949</v>
      </c>
      <c r="I80" s="1814"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87" t="s">
        <v>2973</v>
      </c>
      <c r="B90" s="3287"/>
      <c r="C90" s="3287"/>
      <c r="D90" s="3287"/>
      <c r="E90" s="3287"/>
      <c r="F90" s="3287"/>
      <c r="G90" s="3287"/>
      <c r="H90" s="3287"/>
      <c r="I90" s="3287"/>
      <c r="J90" s="3287"/>
      <c r="K90" s="2896"/>
      <c r="L90" s="2896"/>
      <c r="M90" s="2896"/>
      <c r="N90" s="2896"/>
    </row>
    <row r="91" spans="1:37">
      <c r="A91" s="3289" t="s">
        <v>2974</v>
      </c>
      <c r="B91" s="3289" t="s">
        <v>2975</v>
      </c>
      <c r="C91" s="2850" t="s">
        <v>2976</v>
      </c>
      <c r="D91" s="2851"/>
      <c r="E91" s="2851"/>
      <c r="F91" s="2851"/>
      <c r="G91" s="2851"/>
      <c r="H91" s="2851"/>
      <c r="I91" s="2851"/>
      <c r="J91" s="2897"/>
      <c r="K91" s="2898"/>
      <c r="L91" s="2898"/>
      <c r="M91" s="2898"/>
      <c r="N91" s="2898"/>
    </row>
    <row r="92" spans="1:37">
      <c r="A92" s="3289"/>
      <c r="B92" s="3289"/>
      <c r="C92" s="946" t="s">
        <v>2841</v>
      </c>
      <c r="D92" s="946" t="s">
        <v>2842</v>
      </c>
      <c r="E92" s="946" t="s">
        <v>2843</v>
      </c>
      <c r="F92" s="946" t="s">
        <v>2844</v>
      </c>
      <c r="G92" s="946" t="s">
        <v>2845</v>
      </c>
      <c r="H92" s="946" t="s">
        <v>2846</v>
      </c>
      <c r="I92" s="946" t="s">
        <v>2847</v>
      </c>
      <c r="J92" s="946" t="s">
        <v>2848</v>
      </c>
      <c r="K92" s="946" t="s">
        <v>2849</v>
      </c>
      <c r="L92" s="946" t="s">
        <v>2850</v>
      </c>
      <c r="M92" s="946" t="s">
        <v>2851</v>
      </c>
      <c r="N92" s="946" t="s">
        <v>2852</v>
      </c>
    </row>
    <row r="93" spans="1:37">
      <c r="A93" s="3290"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1"/>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92"/>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0"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291"/>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291"/>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291"/>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291"/>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291"/>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291"/>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291"/>
      <c r="B108" s="3216" t="s">
        <v>2980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92"/>
      <c r="B109" s="3217"/>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88" t="s">
        <v>2981</v>
      </c>
      <c r="B110" s="3288"/>
      <c r="C110" s="3288"/>
      <c r="D110" s="3288"/>
      <c r="E110" s="3288"/>
      <c r="F110" s="3288"/>
      <c r="G110" s="3288"/>
      <c r="H110" s="3288"/>
      <c r="I110" s="3288"/>
      <c r="J110" s="3288"/>
      <c r="K110" s="2905"/>
      <c r="L110" s="2905"/>
      <c r="M110" s="2905"/>
      <c r="N110" s="2905"/>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52" sqref="I5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15489.13</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39681</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2819</v>
      </c>
      <c r="B3" s="249">
        <f ca="1">ROUND(B2*10000/D1,0)</f>
        <v>25619</v>
      </c>
      <c r="C3" s="2725" t="s">
        <v>2820</v>
      </c>
      <c r="D3" s="2726" t="s">
        <v>2821</v>
      </c>
      <c r="E3" s="2731" t="s">
        <v>3585</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9"/>
      <c r="B4" s="3300"/>
      <c r="C4" s="3300"/>
      <c r="D4" s="3301"/>
      <c r="E4" s="3301"/>
      <c r="F4" s="3301"/>
      <c r="G4" s="3301"/>
      <c r="H4" s="3301"/>
      <c r="I4" s="3301"/>
      <c r="J4" s="3302"/>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9"/>
      <c r="AD6" s="2740"/>
      <c r="AE6" s="2740"/>
      <c r="AF6" s="2740"/>
      <c r="AG6" s="2740"/>
      <c r="AH6" s="2740"/>
      <c r="AI6" s="2740"/>
      <c r="AJ6" s="2741"/>
    </row>
    <row r="7" spans="1:36" ht="24">
      <c r="A7" s="3285"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40" t="s">
        <v>2835</v>
      </c>
      <c r="X7" s="1609" t="str">
        <f>G2</f>
        <v>三级</v>
      </c>
      <c r="Y7" s="1609" t="s">
        <v>2836</v>
      </c>
      <c r="Z7" s="1610">
        <f>G3</f>
        <v>2.76</v>
      </c>
      <c r="AA7" s="1611"/>
      <c r="AB7" s="1611"/>
      <c r="AC7" s="1612"/>
      <c r="AD7" s="1613"/>
      <c r="AE7" s="1613"/>
      <c r="AF7" s="1613"/>
      <c r="AG7" s="1613"/>
      <c r="AH7" s="1613"/>
      <c r="AI7" s="1613"/>
      <c r="AJ7" s="1614"/>
    </row>
    <row r="8" spans="1:36" ht="25.5">
      <c r="A8" s="3286"/>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6" t="s">
        <v>2840</v>
      </c>
      <c r="X8" s="3297"/>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86"/>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8"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6"/>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6"/>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8" t="s">
        <v>2864</v>
      </c>
      <c r="X11" s="1619" t="s">
        <v>2836</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85"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8"/>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3"/>
      <c r="B13" s="2768" t="s">
        <v>2871</v>
      </c>
      <c r="C13" s="2769" t="s">
        <v>2872</v>
      </c>
      <c r="D13" s="3033" t="s">
        <v>2873</v>
      </c>
      <c r="E13" s="303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98"/>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303"/>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4"/>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5" t="s">
        <v>2883</v>
      </c>
      <c r="B16" s="2749" t="s">
        <v>2884</v>
      </c>
      <c r="C16" s="3034">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6"/>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1.1000000000000001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2904</v>
      </c>
      <c r="C21" s="3036">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3035" t="s">
        <v>2908</v>
      </c>
      <c r="D22" s="3035">
        <f>IF(E22=G22,F22,IF(G3&lt;=10,ROUND(F22+(H22-F22)*(G3-E22)/(G22-E22),4),"——"))</f>
        <v>0.96630000000000005</v>
      </c>
      <c r="E22" s="917">
        <f>ROUNDDOWN(G3,1)</f>
        <v>2.7</v>
      </c>
      <c r="F22" s="3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3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303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39681</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958</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45312</v>
      </c>
      <c r="D29" s="2849">
        <f>面积!C38+面积!C39+面积!K28</f>
        <v>7912.07</v>
      </c>
      <c r="E29" s="3039">
        <f ca="1">ROUND(C29*D29/10000,0)</f>
        <v>35851</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11328</v>
      </c>
      <c r="D30" s="2855"/>
      <c r="E30" s="3039">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293" t="s">
        <v>2931</v>
      </c>
      <c r="B33" s="2865" t="s">
        <v>2932</v>
      </c>
      <c r="C33" s="207">
        <f ca="1">ROUND(D5*C19*C20*C24*F33,0)</f>
        <v>15478</v>
      </c>
      <c r="D33" s="2849">
        <f>面积!K31</f>
        <v>309.5</v>
      </c>
      <c r="E33" s="201">
        <f ca="1">ROUND(C33*D33/10000,0)</f>
        <v>479</v>
      </c>
      <c r="F33" s="201">
        <f>SUMIF(修正!A45:A56,G2,修正!B45:B56)</f>
        <v>0.7</v>
      </c>
      <c r="G33" s="201">
        <f t="shared" ref="G33:G39" ca="1" si="6">ROUND(IF(E2="工业",C33*$M$39,C33*$M$38),0)</f>
        <v>3870</v>
      </c>
      <c r="H33" s="201">
        <f>D33</f>
        <v>309.5</v>
      </c>
      <c r="I33" s="201">
        <f ca="1">ROUND(G33*H33/10000,0)</f>
        <v>120</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4"/>
      <c r="B34" s="2769" t="s">
        <v>2933</v>
      </c>
      <c r="C34" s="207">
        <f ca="1">ROUND(D5*C19*C20*C24*F34,0)</f>
        <v>8845</v>
      </c>
      <c r="D34" s="2849">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4"/>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295"/>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3032" t="s">
        <v>2944</v>
      </c>
      <c r="C47" s="3032" t="s">
        <v>2945</v>
      </c>
      <c r="D47" s="3032" t="s">
        <v>2946</v>
      </c>
      <c r="E47" s="820" t="s">
        <v>2947</v>
      </c>
      <c r="F47" s="2883" t="s">
        <v>2948</v>
      </c>
      <c r="G47" s="3032" t="s">
        <v>754</v>
      </c>
      <c r="H47" s="2884" t="s">
        <v>2949</v>
      </c>
      <c r="I47" s="3032"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3032"/>
      <c r="C58" s="3032" t="s">
        <v>2945</v>
      </c>
      <c r="D58" s="3032" t="s">
        <v>2946</v>
      </c>
      <c r="E58" s="820" t="s">
        <v>2947</v>
      </c>
      <c r="F58" s="2883" t="s">
        <v>2963</v>
      </c>
      <c r="G58" s="3032" t="s">
        <v>754</v>
      </c>
      <c r="H58" s="2884" t="s">
        <v>2949</v>
      </c>
      <c r="I58" s="3032"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3032"/>
      <c r="C69" s="3032" t="s">
        <v>2945</v>
      </c>
      <c r="D69" s="3032" t="s">
        <v>2946</v>
      </c>
      <c r="E69" s="820" t="s">
        <v>2947</v>
      </c>
      <c r="F69" s="2883" t="s">
        <v>2963</v>
      </c>
      <c r="G69" s="3032" t="s">
        <v>754</v>
      </c>
      <c r="H69" s="2884" t="s">
        <v>2949</v>
      </c>
      <c r="I69" s="3032"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3032"/>
      <c r="C80" s="3032" t="s">
        <v>2945</v>
      </c>
      <c r="D80" s="3032" t="s">
        <v>2946</v>
      </c>
      <c r="E80" s="820" t="s">
        <v>2947</v>
      </c>
      <c r="F80" s="2883" t="s">
        <v>2963</v>
      </c>
      <c r="G80" s="3032" t="s">
        <v>754</v>
      </c>
      <c r="H80" s="2884" t="s">
        <v>2949</v>
      </c>
      <c r="I80" s="3032"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87" t="s">
        <v>2973</v>
      </c>
      <c r="B90" s="3287"/>
      <c r="C90" s="3287"/>
      <c r="D90" s="3287"/>
      <c r="E90" s="3287"/>
      <c r="F90" s="3287"/>
      <c r="G90" s="3287"/>
      <c r="H90" s="3287"/>
      <c r="I90" s="3287"/>
      <c r="J90" s="3287"/>
      <c r="K90" s="3037"/>
      <c r="L90" s="3037"/>
      <c r="M90" s="3037"/>
      <c r="N90" s="3037"/>
    </row>
    <row r="91" spans="1:37">
      <c r="A91" s="3289" t="s">
        <v>2974</v>
      </c>
      <c r="B91" s="3289" t="s">
        <v>2975</v>
      </c>
      <c r="C91" s="2850" t="s">
        <v>2976</v>
      </c>
      <c r="D91" s="2851"/>
      <c r="E91" s="2851"/>
      <c r="F91" s="2851"/>
      <c r="G91" s="2851"/>
      <c r="H91" s="2851"/>
      <c r="I91" s="2851"/>
      <c r="J91" s="2897"/>
      <c r="K91" s="2898"/>
      <c r="L91" s="2898"/>
      <c r="M91" s="2898"/>
      <c r="N91" s="2898"/>
    </row>
    <row r="92" spans="1:37">
      <c r="A92" s="3289"/>
      <c r="B92" s="3289"/>
      <c r="C92" s="3039" t="s">
        <v>2841</v>
      </c>
      <c r="D92" s="3039" t="s">
        <v>2842</v>
      </c>
      <c r="E92" s="3039" t="s">
        <v>2843</v>
      </c>
      <c r="F92" s="3039" t="s">
        <v>2844</v>
      </c>
      <c r="G92" s="3039" t="s">
        <v>2845</v>
      </c>
      <c r="H92" s="3039" t="s">
        <v>2846</v>
      </c>
      <c r="I92" s="3039" t="s">
        <v>2847</v>
      </c>
      <c r="J92" s="3039" t="s">
        <v>2848</v>
      </c>
      <c r="K92" s="3039" t="s">
        <v>2849</v>
      </c>
      <c r="L92" s="3039" t="s">
        <v>2850</v>
      </c>
      <c r="M92" s="3039" t="s">
        <v>2851</v>
      </c>
      <c r="N92" s="3039" t="s">
        <v>2852</v>
      </c>
    </row>
    <row r="93" spans="1:37">
      <c r="A93" s="3290"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1"/>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92"/>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0"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291"/>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291"/>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291"/>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291"/>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291"/>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291"/>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291"/>
      <c r="B108" s="3216" t="s">
        <v>2870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92"/>
      <c r="B109" s="3217"/>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88" t="s">
        <v>2981</v>
      </c>
      <c r="B110" s="3288"/>
      <c r="C110" s="3288"/>
      <c r="D110" s="3288"/>
      <c r="E110" s="3288"/>
      <c r="F110" s="3288"/>
      <c r="G110" s="3288"/>
      <c r="H110" s="3288"/>
      <c r="I110" s="3288"/>
      <c r="J110" s="3288"/>
      <c r="K110" s="3038"/>
      <c r="L110" s="3038"/>
      <c r="M110" s="3038"/>
      <c r="N110" s="3038"/>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2463</v>
      </c>
      <c r="B1" s="1586"/>
      <c r="C1" s="1587"/>
      <c r="D1" s="1585"/>
      <c r="E1" s="321"/>
      <c r="F1" s="321"/>
      <c r="G1" s="1586"/>
      <c r="H1" s="321"/>
      <c r="I1" s="321"/>
      <c r="J1" s="321"/>
      <c r="K1" s="321">
        <f>MATCH(C1,'数据-取费表'!A6:A16,0)+5</f>
        <v>8</v>
      </c>
    </row>
    <row r="2" spans="1:33" ht="18" customHeight="1">
      <c r="A2" s="246" t="s">
        <v>2331</v>
      </c>
      <c r="B2" s="249">
        <f ca="1">C32</f>
        <v>145463</v>
      </c>
      <c r="C2" s="321" t="s">
        <v>2464</v>
      </c>
      <c r="D2" s="321"/>
      <c r="E2" s="321"/>
      <c r="F2" s="321"/>
      <c r="G2" s="321"/>
      <c r="H2" s="321"/>
      <c r="I2" s="321"/>
      <c r="J2" s="321"/>
      <c r="K2" s="321"/>
    </row>
    <row r="3" spans="1:33" ht="18" customHeight="1" thickBot="1">
      <c r="A3" s="248" t="s">
        <v>2333</v>
      </c>
      <c r="B3" s="249">
        <f ca="1">ROUND(B2*10000/IF(C1="",'数据-汇总表'!E3,INDIRECT("'数据-取费表'!K"&amp;$K$1)),0)</f>
        <v>35280</v>
      </c>
      <c r="C3" s="321" t="s">
        <v>2465</v>
      </c>
      <c r="D3" s="321"/>
      <c r="E3" s="321"/>
      <c r="F3" s="321"/>
      <c r="G3" s="321"/>
      <c r="H3" s="321"/>
      <c r="I3" s="321"/>
      <c r="J3" s="321"/>
      <c r="K3" s="321"/>
    </row>
    <row r="4" spans="1:33" s="960" customFormat="1" ht="16.5" customHeight="1">
      <c r="A4" s="957" t="s">
        <v>2466</v>
      </c>
      <c r="B4" s="958"/>
      <c r="C4" s="1000">
        <f ca="1">SUM(C8:K8)</f>
        <v>167749</v>
      </c>
      <c r="D4" s="958"/>
      <c r="E4" s="958"/>
      <c r="F4" s="958"/>
      <c r="G4" s="958"/>
      <c r="H4" s="958"/>
      <c r="I4" s="958"/>
      <c r="J4" s="958"/>
      <c r="K4" s="959"/>
    </row>
    <row r="5" spans="1:33" s="964" customFormat="1" ht="15">
      <c r="A5" s="961" t="s">
        <v>2467</v>
      </c>
      <c r="B5" s="962" t="s">
        <v>2468</v>
      </c>
      <c r="C5" s="2558" t="s">
        <v>1378</v>
      </c>
      <c r="D5" s="2558" t="s">
        <v>48</v>
      </c>
      <c r="E5" s="2558"/>
      <c r="F5" s="2558"/>
      <c r="G5" s="2558"/>
      <c r="H5" s="2558"/>
      <c r="I5" s="2558"/>
      <c r="J5" s="2558"/>
      <c r="K5" s="2558"/>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f>典型户型修正!B21</f>
        <v>69600</v>
      </c>
      <c r="D6" s="966">
        <f ca="1">'收益法-车库'!B3</f>
        <v>17182</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30282.17</v>
      </c>
      <c r="D7" s="322">
        <f>SUMIF('数据-汇总表'!$C19:$C33,假设开发法!D5,'数据-汇总表'!$E19:$E33)</f>
        <v>6958.0599999999995</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9" t="s">
        <v>2472</v>
      </c>
      <c r="B8" s="178" t="s">
        <v>2473</v>
      </c>
      <c r="C8" s="1001">
        <f>典型户型修正!B20</f>
        <v>155794</v>
      </c>
      <c r="D8" s="1001">
        <f ca="1">'收益法-车库'!B2</f>
        <v>11955</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2228</v>
      </c>
      <c r="D11" s="977"/>
      <c r="E11" s="376"/>
      <c r="F11" s="978">
        <f ca="1">1-IF('数据-取费表'!B24=0,1,IF(C1="",'数据-取费表'!N16,INDIRECT("'数据-取费表'!n"&amp;$K$1)))</f>
        <v>0.15000000000000002</v>
      </c>
      <c r="G11" s="8"/>
      <c r="H11" s="972"/>
      <c r="I11" s="972"/>
      <c r="J11" s="972"/>
      <c r="K11" s="973"/>
    </row>
    <row r="12" spans="1:33" s="979" customFormat="1" ht="13.5" customHeight="1">
      <c r="A12" s="975" t="s">
        <v>1336</v>
      </c>
      <c r="B12" s="976" t="s">
        <v>2482</v>
      </c>
      <c r="C12" s="24">
        <f ca="1">ROUND(C11*F12,0)</f>
        <v>111</v>
      </c>
      <c r="D12" s="977"/>
      <c r="E12" s="376"/>
      <c r="F12" s="980">
        <f>'数据-取费表'!B33</f>
        <v>0.05</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v>
      </c>
      <c r="G13" s="8" t="s">
        <v>2485</v>
      </c>
      <c r="H13" s="972"/>
      <c r="I13" s="972"/>
      <c r="J13" s="972"/>
      <c r="K13" s="973"/>
    </row>
    <row r="14" spans="1:33" s="981" customFormat="1" ht="13.5" customHeight="1">
      <c r="A14" s="975" t="s">
        <v>1338</v>
      </c>
      <c r="B14" s="976" t="s">
        <v>2486</v>
      </c>
      <c r="C14" s="24">
        <f ca="1">ROUND(D14*E14*F11/10000,0)</f>
        <v>124</v>
      </c>
      <c r="D14" s="1037">
        <f ca="1">IF(C1="",'数据-汇总表'!E3,INDIRECT("'数据-取费表'!K"&amp;$K$1)+INDIRECT("'数据-取费表'!S"&amp;$K$1))</f>
        <v>41231.079999999994</v>
      </c>
      <c r="E14" s="24">
        <f>'数据-取费表'!B35</f>
        <v>200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33</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2496</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41231.079999999994</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0</v>
      </c>
      <c r="D18" s="1037"/>
      <c r="E18" s="24"/>
      <c r="F18" s="980"/>
      <c r="G18" s="2560" t="s">
        <v>3615</v>
      </c>
      <c r="H18" s="1582">
        <f ca="1">C20</f>
        <v>825</v>
      </c>
      <c r="I18" s="2561"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825</v>
      </c>
      <c r="D20" s="1037">
        <f ca="1">IF(C1="",'数据-汇总表'!E6,IF(INDIRECT("'数据-取费表'!c"&amp;$K$1)="住宅",INDIRECT("'数据-取费表'!s"&amp;$K$1),INDIRECT("'数据-取费表'!k"&amp;$K$1)+INDIRECT("'数据-取费表'!s"&amp;$K$1)))</f>
        <v>41231.079999999994</v>
      </c>
      <c r="E20" s="24">
        <f>'数据-取费表'!B28</f>
        <v>200</v>
      </c>
      <c r="F20" s="980"/>
      <c r="G20" s="15"/>
      <c r="H20" s="985"/>
      <c r="I20" s="985"/>
      <c r="J20" s="985"/>
      <c r="K20" s="986"/>
    </row>
    <row r="21" spans="1:33" s="979" customFormat="1" ht="13.5" customHeight="1">
      <c r="A21" s="965" t="s">
        <v>802</v>
      </c>
      <c r="B21" s="989" t="s">
        <v>2497</v>
      </c>
      <c r="C21" s="990">
        <f ca="1">C16+C17+C18</f>
        <v>2496</v>
      </c>
      <c r="D21" s="991"/>
      <c r="E21" s="326"/>
      <c r="F21" s="326"/>
      <c r="G21" s="140" t="s">
        <v>2498</v>
      </c>
      <c r="H21" s="983"/>
      <c r="I21" s="983"/>
      <c r="J21" s="983"/>
      <c r="K21" s="984"/>
    </row>
    <row r="22" spans="1:33" s="979" customFormat="1" ht="13.5" customHeight="1">
      <c r="A22" s="965" t="s">
        <v>2470</v>
      </c>
      <c r="B22" s="989" t="s">
        <v>2499</v>
      </c>
      <c r="C22" s="990">
        <f ca="1">ROUND(C21*F22,0)</f>
        <v>50</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503</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7</v>
      </c>
      <c r="D25" s="325">
        <f ca="1">C26</f>
        <v>4.4999999999999997E-3</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4.4999999999999997E-3</v>
      </c>
      <c r="D26" s="329"/>
      <c r="E26" s="330"/>
      <c r="F26" s="331"/>
      <c r="G26" s="2562"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2509</v>
      </c>
      <c r="C27" s="1362">
        <f ca="1">ROUND(IF('数据-取费表'!B22&lt;=1,(C21+C22+C23)*F25*'数据-取费表'!B24/2,(C21+C22+C23)*(POWER((1+F25),'数据-取费表'!B24/2)-1)),0)</f>
        <v>7</v>
      </c>
      <c r="D27" s="329"/>
      <c r="E27" s="330"/>
      <c r="F27" s="331"/>
      <c r="G27" s="2562" t="str">
        <f>IF('数据-取费表'!B22&lt;=1,"（1）-（3）项×年利率×建设期÷2","（1）-（3）项×((1+年利率)^(建设期÷2)-1)")</f>
        <v>（1）-（3）项×年利率×建设期÷2</v>
      </c>
      <c r="H27" s="983"/>
      <c r="I27" s="983"/>
      <c r="J27" s="983"/>
      <c r="K27" s="984"/>
    </row>
    <row r="28" spans="1:33" s="334" customFormat="1" ht="13.5" customHeight="1">
      <c r="A28" s="965" t="s">
        <v>2510</v>
      </c>
      <c r="B28" s="2563" t="s">
        <v>2511</v>
      </c>
      <c r="C28" s="332">
        <f ca="1">C30</f>
        <v>915</v>
      </c>
      <c r="D28" s="325">
        <f ca="1">C29</f>
        <v>3.09E-2</v>
      </c>
      <c r="E28" s="327" t="s">
        <v>15</v>
      </c>
      <c r="F28" s="333">
        <f ca="1">IF(C1="",'数据-取费表'!Q16,INDIRECT("'数据-取费表'!q"&amp;$K$1))</f>
        <v>0.3</v>
      </c>
      <c r="G28" s="993"/>
      <c r="H28" s="994"/>
      <c r="I28" s="994"/>
      <c r="J28" s="994"/>
      <c r="K28" s="995"/>
    </row>
    <row r="29" spans="1:33" s="336" customFormat="1" ht="13.5" customHeight="1">
      <c r="A29" s="975" t="s">
        <v>803</v>
      </c>
      <c r="B29" s="998" t="s">
        <v>2512</v>
      </c>
      <c r="C29" s="329">
        <f ca="1">ROUND((1+C24)*F28*'数据-取费表'!B24/'数据-取费表'!B20,4)</f>
        <v>3.09E-2</v>
      </c>
      <c r="D29" s="329"/>
      <c r="E29" s="330"/>
      <c r="F29" s="335"/>
      <c r="G29" s="140" t="s">
        <v>2513</v>
      </c>
      <c r="H29" s="983"/>
      <c r="I29" s="983"/>
      <c r="J29" s="983"/>
      <c r="K29" s="984"/>
    </row>
    <row r="30" spans="1:33" s="336" customFormat="1" ht="13.5" customHeight="1">
      <c r="A30" s="975" t="s">
        <v>804</v>
      </c>
      <c r="B30" s="998" t="s">
        <v>2514</v>
      </c>
      <c r="C30" s="337">
        <f ca="1">ROUND((C21+C22+C23)*F28,0)</f>
        <v>915</v>
      </c>
      <c r="D30" s="329"/>
      <c r="E30" s="330"/>
      <c r="F30" s="335"/>
      <c r="G30" s="140"/>
      <c r="H30" s="983"/>
      <c r="I30" s="983"/>
      <c r="J30" s="983"/>
      <c r="K30" s="984"/>
    </row>
    <row r="31" spans="1:33" s="979" customFormat="1" ht="13.5" customHeight="1" thickBot="1">
      <c r="A31" s="2564" t="s">
        <v>2515</v>
      </c>
      <c r="B31" s="1009" t="s">
        <v>2516</v>
      </c>
      <c r="C31" s="1010">
        <f ca="1">ROUND(C4*F31/(1+'数据-取费表'!C42),0)</f>
        <v>8947</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145463</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IF(C2="——",ROUND(C50*D3/10000,0),ROUND(C50*D3/10000,0)-D2)</f>
        <v>#DIV/0!</v>
      </c>
      <c r="C2" s="2590"/>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IF(C2="——",C50,ROUND(B2*10000/D3,0))</f>
        <v>#DIV/0!</v>
      </c>
      <c r="C3" s="401" t="s">
        <v>2645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30" t="s">
        <v>2652</v>
      </c>
      <c r="Q4" s="3331"/>
      <c r="R4" s="3310" t="s">
        <v>2648</v>
      </c>
      <c r="S4" s="3311"/>
      <c r="T4" s="3310" t="s">
        <v>2649</v>
      </c>
      <c r="U4" s="3311"/>
      <c r="V4" s="3338" t="s">
        <v>2650</v>
      </c>
      <c r="W4" s="3338"/>
      <c r="X4" s="2674"/>
      <c r="Y4" s="3310" t="s">
        <v>2652</v>
      </c>
      <c r="Z4" s="3311"/>
      <c r="AA4" s="3305" t="s">
        <v>2648</v>
      </c>
      <c r="AB4" s="3305" t="s">
        <v>2649</v>
      </c>
      <c r="AC4" s="3323" t="s">
        <v>2650</v>
      </c>
    </row>
    <row r="5" spans="1:29" ht="15">
      <c r="A5" s="405"/>
      <c r="B5" s="406"/>
      <c r="C5" s="3316" t="s">
        <v>2543</v>
      </c>
      <c r="D5" s="3317"/>
      <c r="E5" s="3314" t="s">
        <v>2544</v>
      </c>
      <c r="F5" s="3315"/>
      <c r="G5" s="3316" t="s">
        <v>2545</v>
      </c>
      <c r="H5" s="3317"/>
      <c r="I5" s="3316" t="s">
        <v>2546</v>
      </c>
      <c r="J5" s="3317"/>
      <c r="K5" s="611"/>
      <c r="L5" s="1134"/>
      <c r="M5" s="1135"/>
      <c r="N5" s="1135"/>
      <c r="O5" s="1135"/>
      <c r="P5" s="3332"/>
      <c r="Q5" s="3333"/>
      <c r="R5" s="3312"/>
      <c r="S5" s="3313"/>
      <c r="T5" s="3312"/>
      <c r="U5" s="3313"/>
      <c r="V5" s="3339"/>
      <c r="W5" s="3339"/>
      <c r="X5" s="1818"/>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1818"/>
      <c r="Y6" s="3336"/>
      <c r="Z6" s="3337"/>
      <c r="AA6" s="3307"/>
      <c r="AB6" s="3307"/>
      <c r="AC6" s="3325"/>
    </row>
    <row r="7" spans="1:29" s="117" customFormat="1" ht="15.75" thickBot="1">
      <c r="A7" s="409" t="s">
        <v>2549</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0"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2675" t="e">
        <f>D7/J7</f>
        <v>#DIV/0!</v>
      </c>
    </row>
    <row r="8" spans="1:29" s="117" customFormat="1" ht="15.75" thickBot="1">
      <c r="A8" s="409" t="s">
        <v>2551</v>
      </c>
      <c r="B8" s="410"/>
      <c r="C8" s="415" t="s">
        <v>2653</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0" t="s">
        <v>2553</v>
      </c>
      <c r="Q8" s="3309"/>
      <c r="R8" s="771" t="s">
        <v>17</v>
      </c>
      <c r="S8" s="772">
        <f t="shared" si="0"/>
        <v>0</v>
      </c>
      <c r="T8" s="771" t="s">
        <v>17</v>
      </c>
      <c r="U8" s="772">
        <f t="shared" si="1"/>
        <v>0</v>
      </c>
      <c r="V8" s="771" t="s">
        <v>17</v>
      </c>
      <c r="W8" s="772">
        <f t="shared" si="2"/>
        <v>0</v>
      </c>
      <c r="X8" s="773"/>
      <c r="Y8" s="3308" t="s">
        <v>2553</v>
      </c>
      <c r="Z8" s="3309"/>
      <c r="AA8" s="774" t="e">
        <f t="shared" ref="AA8:AA47" si="3">D8/F8</f>
        <v>#DIV/0!</v>
      </c>
      <c r="AB8" s="774" t="e">
        <f t="shared" ref="AB8:AB47" si="4">D8/H8</f>
        <v>#DIV/0!</v>
      </c>
      <c r="AC8" s="2675" t="e">
        <f t="shared" ref="AC8:AC47" si="5">D8/J8</f>
        <v>#DIV/0!</v>
      </c>
    </row>
    <row r="9" spans="1:29" s="117" customFormat="1">
      <c r="A9" s="416" t="s">
        <v>2554</v>
      </c>
      <c r="B9" s="71" t="s">
        <v>2555</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2675">
        <f t="shared" si="5"/>
        <v>1</v>
      </c>
    </row>
    <row r="10" spans="1:29" s="428" customFormat="1" ht="27">
      <c r="A10" s="422"/>
      <c r="B10" s="423" t="s">
        <v>2558</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2675">
        <f t="shared" si="5"/>
        <v>1</v>
      </c>
    </row>
    <row r="11" spans="1:29" ht="15">
      <c r="A11" s="429"/>
      <c r="B11" s="423" t="s">
        <v>2559</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22"/>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2675" t="e">
        <f t="shared" si="5"/>
        <v>#N/A</v>
      </c>
    </row>
    <row r="12" spans="1:29" s="117" customFormat="1" ht="15">
      <c r="A12" s="432"/>
      <c r="B12" s="2604">
        <v>111</v>
      </c>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2675">
        <f>D12/J12</f>
        <v>1</v>
      </c>
    </row>
    <row r="13" spans="1:29" ht="15">
      <c r="A13" s="429"/>
      <c r="B13" s="2604">
        <v>111</v>
      </c>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2675">
        <f t="shared" si="5"/>
        <v>1</v>
      </c>
    </row>
    <row r="14" spans="1:29" ht="15.75" thickBot="1">
      <c r="A14" s="437"/>
      <c r="B14" s="2606">
        <v>111</v>
      </c>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42" t="s">
        <v>2561</v>
      </c>
      <c r="Q15" s="1815" t="str">
        <f t="shared" si="6"/>
        <v>办公集聚程度</v>
      </c>
      <c r="R15" s="775" t="s">
        <v>17</v>
      </c>
      <c r="S15" s="776">
        <f t="shared" si="0"/>
        <v>100</v>
      </c>
      <c r="T15" s="775" t="s">
        <v>17</v>
      </c>
      <c r="U15" s="776">
        <f t="shared" si="1"/>
        <v>100</v>
      </c>
      <c r="V15" s="775" t="s">
        <v>17</v>
      </c>
      <c r="W15" s="776">
        <f t="shared" si="2"/>
        <v>100</v>
      </c>
      <c r="X15" s="1818"/>
      <c r="Y15" s="3344" t="s">
        <v>2561</v>
      </c>
      <c r="Z15" s="1819" t="str">
        <f t="shared" si="7"/>
        <v>办公集聚程度</v>
      </c>
      <c r="AA15" s="1816">
        <f t="shared" si="3"/>
        <v>1</v>
      </c>
      <c r="AB15" s="1816">
        <f t="shared" si="4"/>
        <v>1</v>
      </c>
      <c r="AC15" s="2678">
        <f t="shared" si="5"/>
        <v>1</v>
      </c>
    </row>
    <row r="16" spans="1:29" ht="15">
      <c r="A16" s="429"/>
      <c r="B16" s="631"/>
      <c r="C16" s="2615"/>
      <c r="D16" s="449"/>
      <c r="E16" s="448"/>
      <c r="F16" s="449"/>
      <c r="G16" s="2615"/>
      <c r="H16" s="451"/>
      <c r="I16" s="448"/>
      <c r="J16" s="449"/>
      <c r="K16" s="616"/>
      <c r="L16" s="1144"/>
      <c r="M16" s="1135"/>
      <c r="N16" s="1135"/>
      <c r="O16" s="1135"/>
      <c r="P16" s="3343"/>
      <c r="Q16" s="1815"/>
      <c r="R16" s="775"/>
      <c r="S16" s="776"/>
      <c r="T16" s="775"/>
      <c r="U16" s="776"/>
      <c r="V16" s="775"/>
      <c r="W16" s="776"/>
      <c r="X16" s="1818"/>
      <c r="Y16" s="3345"/>
      <c r="Z16" s="1819"/>
      <c r="AA16" s="1816">
        <v>1</v>
      </c>
      <c r="AB16" s="1816">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43"/>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2678">
        <f t="shared" si="5"/>
        <v>1</v>
      </c>
    </row>
    <row r="18" spans="1:29" ht="15">
      <c r="A18" s="429"/>
      <c r="B18" s="633"/>
      <c r="C18" s="2680"/>
      <c r="D18" s="451"/>
      <c r="E18" s="2613"/>
      <c r="F18" s="451"/>
      <c r="G18" s="2614"/>
      <c r="H18" s="449"/>
      <c r="I18" s="2614"/>
      <c r="J18" s="449"/>
      <c r="K18" s="616"/>
      <c r="L18" s="1144"/>
      <c r="M18" s="1135"/>
      <c r="N18" s="1135"/>
      <c r="O18" s="1135"/>
      <c r="P18" s="3343"/>
      <c r="Q18" s="1815"/>
      <c r="R18" s="775"/>
      <c r="S18" s="776"/>
      <c r="T18" s="775"/>
      <c r="U18" s="776"/>
      <c r="V18" s="775"/>
      <c r="W18" s="776"/>
      <c r="X18" s="1818"/>
      <c r="Y18" s="3345"/>
      <c r="Z18" s="1819"/>
      <c r="AA18" s="1816">
        <v>1</v>
      </c>
      <c r="AB18" s="1816">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43"/>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2678">
        <f t="shared" si="5"/>
        <v>1</v>
      </c>
    </row>
    <row r="20" spans="1:29" ht="15">
      <c r="A20" s="429"/>
      <c r="B20" s="633"/>
      <c r="C20" s="2615"/>
      <c r="D20" s="449"/>
      <c r="E20" s="2608"/>
      <c r="F20" s="449"/>
      <c r="G20" s="2609"/>
      <c r="H20" s="449"/>
      <c r="I20" s="2609"/>
      <c r="J20" s="449"/>
      <c r="K20" s="616"/>
      <c r="L20" s="1144"/>
      <c r="M20" s="1135"/>
      <c r="N20" s="1135"/>
      <c r="O20" s="1135"/>
      <c r="P20" s="3343"/>
      <c r="Q20" s="1815"/>
      <c r="R20" s="775"/>
      <c r="S20" s="776"/>
      <c r="T20" s="775"/>
      <c r="U20" s="776"/>
      <c r="V20" s="775"/>
      <c r="W20" s="776"/>
      <c r="X20" s="1818"/>
      <c r="Y20" s="3345"/>
      <c r="Z20" s="1819"/>
      <c r="AA20" s="1816">
        <v>1</v>
      </c>
      <c r="AB20" s="1816">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2678">
        <f t="shared" ref="AC21" si="10">D21/J21</f>
        <v>1</v>
      </c>
    </row>
    <row r="22" spans="1:29" ht="15">
      <c r="A22" s="429"/>
      <c r="B22" s="634"/>
      <c r="C22" s="2680"/>
      <c r="D22" s="449"/>
      <c r="E22" s="448"/>
      <c r="F22" s="449"/>
      <c r="G22" s="2615"/>
      <c r="H22" s="449"/>
      <c r="I22" s="2615"/>
      <c r="J22" s="449"/>
      <c r="K22" s="1387"/>
      <c r="L22" s="1144"/>
      <c r="M22" s="1135"/>
      <c r="N22" s="1135"/>
      <c r="O22" s="1135"/>
      <c r="P22" s="3343"/>
      <c r="Q22" s="1815"/>
      <c r="R22" s="775"/>
      <c r="S22" s="776"/>
      <c r="T22" s="775"/>
      <c r="U22" s="776"/>
      <c r="V22" s="775"/>
      <c r="W22" s="776"/>
      <c r="X22" s="1818"/>
      <c r="Y22" s="3345"/>
      <c r="Z22" s="1819"/>
      <c r="AA22" s="1816">
        <v>1</v>
      </c>
      <c r="AB22" s="1816">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43"/>
      <c r="Q23" s="1815" t="str">
        <f>B23</f>
        <v>环境质量</v>
      </c>
      <c r="R23" s="775" t="s">
        <v>17</v>
      </c>
      <c r="S23" s="776">
        <f>F23</f>
        <v>100</v>
      </c>
      <c r="T23" s="775" t="s">
        <v>17</v>
      </c>
      <c r="U23" s="776">
        <f>H23</f>
        <v>100</v>
      </c>
      <c r="V23" s="775" t="s">
        <v>17</v>
      </c>
      <c r="W23" s="776">
        <f>J23</f>
        <v>100</v>
      </c>
      <c r="X23" s="1818"/>
      <c r="Y23" s="3345"/>
      <c r="Z23" s="1819" t="str">
        <f>Q23</f>
        <v>环境质量</v>
      </c>
      <c r="AA23" s="1816">
        <f t="shared" si="3"/>
        <v>1</v>
      </c>
      <c r="AB23" s="1816">
        <f t="shared" si="4"/>
        <v>1</v>
      </c>
      <c r="AC23" s="2678">
        <f t="shared" si="5"/>
        <v>1</v>
      </c>
    </row>
    <row r="24" spans="1:29" ht="15">
      <c r="A24" s="429"/>
      <c r="B24" s="634"/>
      <c r="C24" s="2615"/>
      <c r="D24" s="449"/>
      <c r="E24" s="2608"/>
      <c r="F24" s="449"/>
      <c r="G24" s="2609"/>
      <c r="H24" s="449"/>
      <c r="I24" s="2609"/>
      <c r="J24" s="449"/>
      <c r="K24" s="616"/>
      <c r="L24" s="1144"/>
      <c r="M24" s="1135"/>
      <c r="N24" s="1135"/>
      <c r="O24" s="1135"/>
      <c r="P24" s="3343"/>
      <c r="Q24" s="1815"/>
      <c r="R24" s="775"/>
      <c r="S24" s="776"/>
      <c r="T24" s="775"/>
      <c r="U24" s="776"/>
      <c r="V24" s="775"/>
      <c r="W24" s="776"/>
      <c r="X24" s="1818"/>
      <c r="Y24" s="3345"/>
      <c r="Z24" s="1819"/>
      <c r="AA24" s="1816">
        <v>1</v>
      </c>
      <c r="AB24" s="1816">
        <v>1</v>
      </c>
      <c r="AC24" s="2678">
        <v>1</v>
      </c>
    </row>
    <row r="25" spans="1:29" ht="27">
      <c r="A25" s="405"/>
      <c r="B25" s="632" t="s">
        <v>2692</v>
      </c>
      <c r="C25" s="2619"/>
      <c r="D25" s="436">
        <v>100</v>
      </c>
      <c r="E25" s="435"/>
      <c r="F25" s="436">
        <f>SUMIF(87:87,E26,88:88)-SUMIF(87:87,C26,88:88)+100</f>
        <v>100</v>
      </c>
      <c r="G25" s="2619"/>
      <c r="H25" s="436">
        <f>SUMIF(87:87,G26,88:88)-SUMIF(87:87,C26,88:88)+100</f>
        <v>100</v>
      </c>
      <c r="I25" s="435"/>
      <c r="J25" s="436">
        <f>SUMIF(87:87,I26,88:88)-SUMIF(87:87,C26,88:88)+100</f>
        <v>100</v>
      </c>
      <c r="K25" s="615"/>
      <c r="L25" s="1144"/>
      <c r="M25" s="1135"/>
      <c r="N25" s="1135"/>
      <c r="O25" s="1135"/>
      <c r="P25" s="3343"/>
      <c r="Q25" s="1815" t="str">
        <f>B25</f>
        <v>毗邻道路的类型与等级</v>
      </c>
      <c r="R25" s="775" t="s">
        <v>17</v>
      </c>
      <c r="S25" s="776">
        <f>F25</f>
        <v>100</v>
      </c>
      <c r="T25" s="775" t="s">
        <v>17</v>
      </c>
      <c r="U25" s="776">
        <f>H25</f>
        <v>100</v>
      </c>
      <c r="V25" s="775" t="s">
        <v>17</v>
      </c>
      <c r="W25" s="776">
        <f>J25</f>
        <v>100</v>
      </c>
      <c r="X25" s="1818"/>
      <c r="Y25" s="3345"/>
      <c r="Z25" s="1819" t="str">
        <f>Q25</f>
        <v>毗邻道路的类型与等级</v>
      </c>
      <c r="AA25" s="1816">
        <f t="shared" si="3"/>
        <v>1</v>
      </c>
      <c r="AB25" s="1816">
        <f t="shared" si="4"/>
        <v>1</v>
      </c>
      <c r="AC25" s="2678">
        <f t="shared" si="5"/>
        <v>1</v>
      </c>
    </row>
    <row r="26" spans="1:29" ht="15">
      <c r="A26" s="405"/>
      <c r="B26" s="633"/>
      <c r="C26" s="635"/>
      <c r="D26" s="436"/>
      <c r="E26" s="617"/>
      <c r="F26" s="436"/>
      <c r="G26" s="635"/>
      <c r="H26" s="436"/>
      <c r="I26" s="617"/>
      <c r="J26" s="436"/>
      <c r="K26" s="616"/>
      <c r="L26" s="1144"/>
      <c r="M26" s="1135"/>
      <c r="N26" s="1135"/>
      <c r="O26" s="1135"/>
      <c r="P26" s="3343"/>
      <c r="Q26" s="1815"/>
      <c r="R26" s="775"/>
      <c r="S26" s="776"/>
      <c r="T26" s="775"/>
      <c r="U26" s="776"/>
      <c r="V26" s="775"/>
      <c r="W26" s="776"/>
      <c r="X26" s="1818"/>
      <c r="Y26" s="3345"/>
      <c r="Z26" s="1819"/>
      <c r="AA26" s="1816">
        <v>1</v>
      </c>
      <c r="AB26" s="1816">
        <v>1</v>
      </c>
      <c r="AC26" s="2678">
        <v>1</v>
      </c>
    </row>
    <row r="27" spans="1:29" ht="15">
      <c r="A27" s="429"/>
      <c r="B27" s="633" t="s">
        <v>2660</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43"/>
      <c r="Q27" s="1815" t="str">
        <f t="shared" ref="Q27:Q47" si="11">B27</f>
        <v>楼层</v>
      </c>
      <c r="R27" s="775" t="s">
        <v>17</v>
      </c>
      <c r="S27" s="776">
        <f>F27</f>
        <v>100</v>
      </c>
      <c r="T27" s="775" t="s">
        <v>17</v>
      </c>
      <c r="U27" s="776">
        <f>H27</f>
        <v>100</v>
      </c>
      <c r="V27" s="775" t="s">
        <v>17</v>
      </c>
      <c r="W27" s="776">
        <f>J27</f>
        <v>100</v>
      </c>
      <c r="X27" s="1818"/>
      <c r="Y27" s="3345"/>
      <c r="Z27" s="1819" t="str">
        <f>Q27</f>
        <v>楼层</v>
      </c>
      <c r="AA27" s="1816">
        <f t="shared" si="3"/>
        <v>1</v>
      </c>
      <c r="AB27" s="1816">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c r="L28" s="1136"/>
      <c r="M28" s="1137"/>
      <c r="N28" s="1137"/>
      <c r="O28" s="1137"/>
      <c r="P28" s="3343"/>
      <c r="Q28" s="1800" t="str">
        <f t="shared" si="11"/>
        <v>朝向</v>
      </c>
      <c r="R28" s="771" t="s">
        <v>17</v>
      </c>
      <c r="S28" s="772">
        <f>F28</f>
        <v>100</v>
      </c>
      <c r="T28" s="771" t="s">
        <v>17</v>
      </c>
      <c r="U28" s="772">
        <f>H28</f>
        <v>100</v>
      </c>
      <c r="V28" s="771" t="s">
        <v>17</v>
      </c>
      <c r="W28" s="772">
        <f>J28</f>
        <v>100</v>
      </c>
      <c r="X28" s="773"/>
      <c r="Y28" s="3345"/>
      <c r="Z28" s="55" t="str">
        <f>Q28</f>
        <v>朝向</v>
      </c>
      <c r="AA28" s="1816">
        <f>D28/F28</f>
        <v>1</v>
      </c>
      <c r="AB28" s="1816">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1815">
        <f t="shared" si="11"/>
        <v>111</v>
      </c>
      <c r="R29" s="775" t="s">
        <v>17</v>
      </c>
      <c r="S29" s="776">
        <f t="shared" ref="S29:S47" si="12">F29</f>
        <v>100</v>
      </c>
      <c r="T29" s="775" t="s">
        <v>17</v>
      </c>
      <c r="U29" s="776">
        <f t="shared" ref="U29:U47" si="13">H29</f>
        <v>100</v>
      </c>
      <c r="V29" s="775" t="s">
        <v>17</v>
      </c>
      <c r="W29" s="776">
        <f t="shared" ref="W29:W47" si="14">J29</f>
        <v>100</v>
      </c>
      <c r="X29" s="1818"/>
      <c r="Y29" s="3345"/>
      <c r="Z29" s="1819">
        <f t="shared" ref="Z29:Z47" si="15">Q29</f>
        <v>111</v>
      </c>
      <c r="AA29" s="1816">
        <f t="shared" si="3"/>
        <v>1</v>
      </c>
      <c r="AB29" s="1816">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1815">
        <f t="shared" si="11"/>
        <v>111</v>
      </c>
      <c r="R30" s="775" t="s">
        <v>17</v>
      </c>
      <c r="S30" s="776">
        <f t="shared" si="12"/>
        <v>100</v>
      </c>
      <c r="T30" s="775" t="s">
        <v>17</v>
      </c>
      <c r="U30" s="776">
        <f t="shared" si="13"/>
        <v>100</v>
      </c>
      <c r="V30" s="775" t="s">
        <v>17</v>
      </c>
      <c r="W30" s="776">
        <f t="shared" si="14"/>
        <v>100</v>
      </c>
      <c r="X30" s="1818"/>
      <c r="Y30" s="3345"/>
      <c r="Z30" s="1819">
        <f t="shared" si="15"/>
        <v>111</v>
      </c>
      <c r="AA30" s="1816">
        <f t="shared" si="3"/>
        <v>1</v>
      </c>
      <c r="AB30" s="1816">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1815">
        <f t="shared" si="11"/>
        <v>111</v>
      </c>
      <c r="R31" s="775" t="s">
        <v>17</v>
      </c>
      <c r="S31" s="776">
        <f t="shared" si="12"/>
        <v>100</v>
      </c>
      <c r="T31" s="775" t="s">
        <v>17</v>
      </c>
      <c r="U31" s="776">
        <f t="shared" si="13"/>
        <v>100</v>
      </c>
      <c r="V31" s="775" t="s">
        <v>17</v>
      </c>
      <c r="W31" s="776">
        <f t="shared" si="14"/>
        <v>100</v>
      </c>
      <c r="X31" s="1818"/>
      <c r="Y31" s="3345"/>
      <c r="Z31" s="1819">
        <f t="shared" si="15"/>
        <v>111</v>
      </c>
      <c r="AA31" s="1816">
        <f t="shared" si="3"/>
        <v>1</v>
      </c>
      <c r="AB31" s="1816">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1815">
        <f t="shared" si="11"/>
        <v>111</v>
      </c>
      <c r="R32" s="775" t="s">
        <v>17</v>
      </c>
      <c r="S32" s="776">
        <f t="shared" si="12"/>
        <v>100</v>
      </c>
      <c r="T32" s="775" t="s">
        <v>17</v>
      </c>
      <c r="U32" s="776">
        <f t="shared" si="13"/>
        <v>100</v>
      </c>
      <c r="V32" s="775" t="s">
        <v>17</v>
      </c>
      <c r="W32" s="776">
        <f t="shared" si="14"/>
        <v>100</v>
      </c>
      <c r="X32" s="1818"/>
      <c r="Y32" s="3345"/>
      <c r="Z32" s="1819">
        <f t="shared" si="15"/>
        <v>111</v>
      </c>
      <c r="AA32" s="1816">
        <f t="shared" si="3"/>
        <v>1</v>
      </c>
      <c r="AB32" s="1816">
        <f t="shared" si="4"/>
        <v>1</v>
      </c>
      <c r="AC32" s="2678">
        <f t="shared" si="5"/>
        <v>1</v>
      </c>
    </row>
    <row r="33" spans="1:29" ht="15">
      <c r="A33" s="441" t="s">
        <v>2564</v>
      </c>
      <c r="B33" s="71" t="s">
        <v>2694</v>
      </c>
      <c r="C33" s="2683"/>
      <c r="D33" s="468">
        <v>100</v>
      </c>
      <c r="E33" s="2683"/>
      <c r="F33" s="462">
        <f>SUMIF(101:101,E33,102:102)-SUMIF(101:101,C33,102:102)+100</f>
        <v>100</v>
      </c>
      <c r="G33" s="2683"/>
      <c r="H33" s="436">
        <f>SUMIF(101:101,G33,102:102)-SUMIF(101:101,C33,102:102)+100</f>
        <v>100</v>
      </c>
      <c r="I33" s="2683"/>
      <c r="J33" s="468">
        <f>SUMIF(101:101,I33,102:102)-SUMIF(101:101,C33,102:102)+100</f>
        <v>100</v>
      </c>
      <c r="K33" s="613"/>
      <c r="L33" s="1144"/>
      <c r="M33" s="1135"/>
      <c r="N33" s="1135"/>
      <c r="O33" s="1135"/>
      <c r="P33" s="3346" t="s">
        <v>2566</v>
      </c>
      <c r="Q33" s="1815" t="str">
        <f t="shared" si="11"/>
        <v>建筑类型</v>
      </c>
      <c r="R33" s="775" t="s">
        <v>17</v>
      </c>
      <c r="S33" s="776">
        <f t="shared" si="12"/>
        <v>100</v>
      </c>
      <c r="T33" s="775" t="s">
        <v>17</v>
      </c>
      <c r="U33" s="776">
        <f t="shared" si="13"/>
        <v>100</v>
      </c>
      <c r="V33" s="775" t="s">
        <v>17</v>
      </c>
      <c r="W33" s="776">
        <f t="shared" si="14"/>
        <v>100</v>
      </c>
      <c r="X33" s="1818"/>
      <c r="Y33" s="3349" t="s">
        <v>2566</v>
      </c>
      <c r="Z33" s="1819" t="str">
        <f t="shared" si="15"/>
        <v>建筑类型</v>
      </c>
      <c r="AA33" s="1816">
        <f t="shared" si="3"/>
        <v>1</v>
      </c>
      <c r="AB33" s="1816">
        <f t="shared" si="4"/>
        <v>1</v>
      </c>
      <c r="AC33" s="2678">
        <f t="shared" si="5"/>
        <v>1</v>
      </c>
    </row>
    <row r="34" spans="1:29" s="472" customFormat="1" ht="15">
      <c r="A34" s="469"/>
      <c r="B34" s="423" t="s">
        <v>2567</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47"/>
      <c r="Q34" s="777" t="str">
        <f t="shared" si="11"/>
        <v>项目建筑规模</v>
      </c>
      <c r="R34" s="778" t="s">
        <v>17</v>
      </c>
      <c r="S34" s="779" t="e">
        <f t="shared" si="12"/>
        <v>#N/A</v>
      </c>
      <c r="T34" s="778" t="s">
        <v>17</v>
      </c>
      <c r="U34" s="779" t="e">
        <f t="shared" si="13"/>
        <v>#N/A</v>
      </c>
      <c r="V34" s="778" t="s">
        <v>17</v>
      </c>
      <c r="W34" s="779" t="e">
        <f t="shared" si="14"/>
        <v>#N/A</v>
      </c>
      <c r="X34" s="780"/>
      <c r="Y34" s="3349"/>
      <c r="Z34" s="781" t="str">
        <f t="shared" si="15"/>
        <v>项目建筑规模</v>
      </c>
      <c r="AA34" s="1816" t="e">
        <f t="shared" si="3"/>
        <v>#N/A</v>
      </c>
      <c r="AB34" s="1816" t="e">
        <f t="shared" si="4"/>
        <v>#N/A</v>
      </c>
      <c r="AC34" s="2678" t="e">
        <f t="shared" si="5"/>
        <v>#N/A</v>
      </c>
    </row>
    <row r="35" spans="1:29" ht="15">
      <c r="A35" s="473"/>
      <c r="B35" s="423" t="s">
        <v>2568</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47"/>
      <c r="Q35" s="1815" t="str">
        <f t="shared" si="11"/>
        <v>建筑结构</v>
      </c>
      <c r="R35" s="775" t="s">
        <v>17</v>
      </c>
      <c r="S35" s="776">
        <f t="shared" si="12"/>
        <v>100</v>
      </c>
      <c r="T35" s="775" t="s">
        <v>17</v>
      </c>
      <c r="U35" s="776">
        <f t="shared" si="13"/>
        <v>100</v>
      </c>
      <c r="V35" s="775" t="s">
        <v>17</v>
      </c>
      <c r="W35" s="776">
        <f t="shared" si="14"/>
        <v>100</v>
      </c>
      <c r="X35" s="1818"/>
      <c r="Y35" s="3349"/>
      <c r="Z35" s="1819" t="str">
        <f t="shared" si="15"/>
        <v>建筑结构</v>
      </c>
      <c r="AA35" s="1816">
        <f t="shared" si="3"/>
        <v>1</v>
      </c>
      <c r="AB35" s="1816">
        <f t="shared" si="4"/>
        <v>1</v>
      </c>
      <c r="AC35" s="2678">
        <f t="shared" si="5"/>
        <v>1</v>
      </c>
    </row>
    <row r="36" spans="1:29" ht="15">
      <c r="A36" s="473"/>
      <c r="B36" s="423" t="s">
        <v>2662</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47"/>
      <c r="Q36" s="1815" t="str">
        <f t="shared" si="11"/>
        <v>公共部分装修</v>
      </c>
      <c r="R36" s="775" t="s">
        <v>17</v>
      </c>
      <c r="S36" s="776">
        <f t="shared" si="12"/>
        <v>100</v>
      </c>
      <c r="T36" s="775" t="s">
        <v>17</v>
      </c>
      <c r="U36" s="776">
        <f t="shared" si="13"/>
        <v>100</v>
      </c>
      <c r="V36" s="775" t="s">
        <v>17</v>
      </c>
      <c r="W36" s="776">
        <f t="shared" si="14"/>
        <v>100</v>
      </c>
      <c r="X36" s="1818"/>
      <c r="Y36" s="3349"/>
      <c r="Z36" s="1819" t="str">
        <f t="shared" si="15"/>
        <v>公共部分装修</v>
      </c>
      <c r="AA36" s="1816">
        <f t="shared" si="3"/>
        <v>1</v>
      </c>
      <c r="AB36" s="1816">
        <f t="shared" si="4"/>
        <v>1</v>
      </c>
      <c r="AC36" s="2678">
        <f t="shared" si="5"/>
        <v>1</v>
      </c>
    </row>
    <row r="37" spans="1:29" ht="15">
      <c r="A37" s="473"/>
      <c r="B37" s="423" t="s">
        <v>2663</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47"/>
      <c r="Q37" s="1815" t="str">
        <f t="shared" si="11"/>
        <v>成新度</v>
      </c>
      <c r="R37" s="775" t="s">
        <v>17</v>
      </c>
      <c r="S37" s="776" t="e">
        <f t="shared" si="12"/>
        <v>#N/A</v>
      </c>
      <c r="T37" s="775" t="s">
        <v>17</v>
      </c>
      <c r="U37" s="776" t="e">
        <f t="shared" si="13"/>
        <v>#N/A</v>
      </c>
      <c r="V37" s="775" t="s">
        <v>17</v>
      </c>
      <c r="W37" s="776" t="e">
        <f t="shared" si="14"/>
        <v>#N/A</v>
      </c>
      <c r="X37" s="1818"/>
      <c r="Y37" s="3349"/>
      <c r="Z37" s="1819" t="str">
        <f t="shared" si="15"/>
        <v>成新度</v>
      </c>
      <c r="AA37" s="1816" t="e">
        <f t="shared" si="3"/>
        <v>#N/A</v>
      </c>
      <c r="AB37" s="1816" t="e">
        <f t="shared" si="4"/>
        <v>#N/A</v>
      </c>
      <c r="AC37" s="2678" t="e">
        <f t="shared" si="5"/>
        <v>#N/A</v>
      </c>
    </row>
    <row r="38" spans="1:29" s="117" customFormat="1" ht="15">
      <c r="A38" s="474"/>
      <c r="B38" s="423" t="s">
        <v>2695</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47"/>
      <c r="Q38" s="1800" t="str">
        <f t="shared" si="11"/>
        <v>写字楼等级</v>
      </c>
      <c r="R38" s="771" t="s">
        <v>17</v>
      </c>
      <c r="S38" s="772">
        <f t="shared" si="12"/>
        <v>100</v>
      </c>
      <c r="T38" s="771" t="s">
        <v>17</v>
      </c>
      <c r="U38" s="772">
        <f t="shared" si="13"/>
        <v>100</v>
      </c>
      <c r="V38" s="771" t="s">
        <v>17</v>
      </c>
      <c r="W38" s="772">
        <f t="shared" si="14"/>
        <v>100</v>
      </c>
      <c r="X38" s="773"/>
      <c r="Y38" s="3349"/>
      <c r="Z38" s="55" t="str">
        <f t="shared" si="15"/>
        <v>写字楼等级</v>
      </c>
      <c r="AA38" s="774">
        <f t="shared" si="3"/>
        <v>1</v>
      </c>
      <c r="AB38" s="774">
        <f t="shared" si="4"/>
        <v>1</v>
      </c>
      <c r="AC38" s="2675">
        <f t="shared" si="5"/>
        <v>1</v>
      </c>
    </row>
    <row r="39" spans="1:29" ht="15">
      <c r="A39" s="473"/>
      <c r="B39" s="423" t="s">
        <v>2696</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47" t="s">
        <v>2566</v>
      </c>
      <c r="Q39" s="1815" t="str">
        <f t="shared" si="11"/>
        <v>物业管理</v>
      </c>
      <c r="R39" s="775" t="s">
        <v>17</v>
      </c>
      <c r="S39" s="776">
        <f t="shared" si="12"/>
        <v>100</v>
      </c>
      <c r="T39" s="775" t="s">
        <v>17</v>
      </c>
      <c r="U39" s="776">
        <f t="shared" si="13"/>
        <v>100</v>
      </c>
      <c r="V39" s="775" t="s">
        <v>17</v>
      </c>
      <c r="W39" s="776">
        <f t="shared" si="14"/>
        <v>100</v>
      </c>
      <c r="X39" s="1818"/>
      <c r="Y39" s="3349" t="s">
        <v>2566</v>
      </c>
      <c r="Z39" s="1819" t="str">
        <f t="shared" si="15"/>
        <v>物业管理</v>
      </c>
      <c r="AA39" s="1816">
        <f t="shared" si="3"/>
        <v>1</v>
      </c>
      <c r="AB39" s="1816">
        <f t="shared" si="4"/>
        <v>1</v>
      </c>
      <c r="AC39" s="2678">
        <f t="shared" si="5"/>
        <v>1</v>
      </c>
    </row>
    <row r="40" spans="1:29" ht="15">
      <c r="A40" s="473"/>
      <c r="B40" s="423" t="s">
        <v>2664</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47"/>
      <c r="Q40" s="1815" t="str">
        <f t="shared" si="11"/>
        <v>市政基础设施</v>
      </c>
      <c r="R40" s="775" t="s">
        <v>17</v>
      </c>
      <c r="S40" s="776">
        <f t="shared" si="12"/>
        <v>100</v>
      </c>
      <c r="T40" s="775" t="s">
        <v>17</v>
      </c>
      <c r="U40" s="776">
        <f t="shared" si="13"/>
        <v>100</v>
      </c>
      <c r="V40" s="775" t="s">
        <v>17</v>
      </c>
      <c r="W40" s="776">
        <f t="shared" si="14"/>
        <v>100</v>
      </c>
      <c r="X40" s="1818"/>
      <c r="Y40" s="3349"/>
      <c r="Z40" s="1819" t="str">
        <f t="shared" si="15"/>
        <v>市政基础设施</v>
      </c>
      <c r="AA40" s="1816">
        <f t="shared" si="3"/>
        <v>1</v>
      </c>
      <c r="AB40" s="1816">
        <f t="shared" si="4"/>
        <v>1</v>
      </c>
      <c r="AC40" s="2678">
        <f t="shared" si="5"/>
        <v>1</v>
      </c>
    </row>
    <row r="41" spans="1:29" ht="15">
      <c r="A41" s="473"/>
      <c r="B41" s="423" t="s">
        <v>2666</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47"/>
      <c r="Q41" s="1815" t="str">
        <f t="shared" si="11"/>
        <v>层高</v>
      </c>
      <c r="R41" s="775" t="s">
        <v>17</v>
      </c>
      <c r="S41" s="776">
        <f t="shared" si="12"/>
        <v>100</v>
      </c>
      <c r="T41" s="775" t="s">
        <v>17</v>
      </c>
      <c r="U41" s="776">
        <f t="shared" si="13"/>
        <v>100</v>
      </c>
      <c r="V41" s="775" t="s">
        <v>17</v>
      </c>
      <c r="W41" s="776">
        <f t="shared" si="14"/>
        <v>100</v>
      </c>
      <c r="X41" s="1818"/>
      <c r="Y41" s="3349"/>
      <c r="Z41" s="1819" t="str">
        <f t="shared" si="15"/>
        <v>层高</v>
      </c>
      <c r="AA41" s="1816">
        <f t="shared" si="3"/>
        <v>1</v>
      </c>
      <c r="AB41" s="1816">
        <f t="shared" si="4"/>
        <v>1</v>
      </c>
      <c r="AC41" s="2678">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1816">
        <f t="shared" si="3"/>
        <v>1</v>
      </c>
      <c r="AB42" s="1816">
        <f t="shared" si="4"/>
        <v>1</v>
      </c>
      <c r="AC42" s="2678">
        <f t="shared" si="5"/>
        <v>1</v>
      </c>
    </row>
    <row r="43" spans="1:29" ht="15">
      <c r="A43" s="473"/>
      <c r="B43" s="423" t="s">
        <v>2669</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47"/>
      <c r="Q43" s="1815" t="str">
        <f t="shared" si="11"/>
        <v>内部装修</v>
      </c>
      <c r="R43" s="775" t="s">
        <v>17</v>
      </c>
      <c r="S43" s="776">
        <f t="shared" si="12"/>
        <v>100</v>
      </c>
      <c r="T43" s="775" t="s">
        <v>17</v>
      </c>
      <c r="U43" s="776">
        <f t="shared" si="13"/>
        <v>100</v>
      </c>
      <c r="V43" s="775" t="s">
        <v>17</v>
      </c>
      <c r="W43" s="776">
        <f t="shared" si="14"/>
        <v>100</v>
      </c>
      <c r="X43" s="1818"/>
      <c r="Y43" s="3349"/>
      <c r="Z43" s="1819" t="str">
        <f t="shared" si="15"/>
        <v>内部装修</v>
      </c>
      <c r="AA43" s="1816">
        <f t="shared" si="3"/>
        <v>1</v>
      </c>
      <c r="AB43" s="1816">
        <f t="shared" si="4"/>
        <v>1</v>
      </c>
      <c r="AC43" s="2678">
        <f t="shared" si="5"/>
        <v>1</v>
      </c>
    </row>
    <row r="44" spans="1:29" ht="15">
      <c r="A44" s="473"/>
      <c r="B44" s="423" t="s">
        <v>2577</v>
      </c>
      <c r="C44" s="461"/>
      <c r="D44" s="436">
        <v>100</v>
      </c>
      <c r="E44" s="2617"/>
      <c r="F44" s="462">
        <f>SUMIF(125:125,E44,126:126)-SUMIF(125:125,C44,126:126)+100</f>
        <v>100</v>
      </c>
      <c r="G44" s="2617"/>
      <c r="H44" s="436">
        <f>SUMIF(125:125,G44,126:126)-SUMIF(125:125,C44,126:126)+100</f>
        <v>100</v>
      </c>
      <c r="I44" s="2617"/>
      <c r="J44" s="436">
        <f>SUMIF(125:125,I44,126:126)-SUMIF(125:125,C44,126:126)+100</f>
        <v>100</v>
      </c>
      <c r="K44" s="613"/>
      <c r="L44" s="1144"/>
      <c r="M44" s="1135"/>
      <c r="N44" s="1135"/>
      <c r="O44" s="1135"/>
      <c r="P44" s="3347"/>
      <c r="Q44" s="1815" t="str">
        <f t="shared" si="11"/>
        <v>内部装修维护情况</v>
      </c>
      <c r="R44" s="775" t="s">
        <v>17</v>
      </c>
      <c r="S44" s="776">
        <f t="shared" si="12"/>
        <v>100</v>
      </c>
      <c r="T44" s="775" t="s">
        <v>17</v>
      </c>
      <c r="U44" s="776">
        <f t="shared" si="13"/>
        <v>100</v>
      </c>
      <c r="V44" s="775" t="s">
        <v>17</v>
      </c>
      <c r="W44" s="776">
        <f t="shared" si="14"/>
        <v>100</v>
      </c>
      <c r="X44" s="1818"/>
      <c r="Y44" s="3349"/>
      <c r="Z44" s="1819" t="str">
        <f t="shared" si="15"/>
        <v>内部装修维护情况</v>
      </c>
      <c r="AA44" s="1816">
        <f t="shared" si="3"/>
        <v>1</v>
      </c>
      <c r="AB44" s="1816">
        <f t="shared" si="4"/>
        <v>1</v>
      </c>
      <c r="AC44" s="2678">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1800">
        <f t="shared" si="11"/>
        <v>111</v>
      </c>
      <c r="R45" s="771" t="s">
        <v>17</v>
      </c>
      <c r="S45" s="772">
        <f t="shared" si="12"/>
        <v>100</v>
      </c>
      <c r="T45" s="771" t="s">
        <v>17</v>
      </c>
      <c r="U45" s="772">
        <f t="shared" si="13"/>
        <v>100</v>
      </c>
      <c r="V45" s="771" t="s">
        <v>17</v>
      </c>
      <c r="W45" s="772">
        <f t="shared" si="14"/>
        <v>100</v>
      </c>
      <c r="X45" s="773"/>
      <c r="Y45" s="3349"/>
      <c r="Z45" s="55">
        <f t="shared" si="15"/>
        <v>111</v>
      </c>
      <c r="AA45" s="774">
        <f t="shared" si="3"/>
        <v>1</v>
      </c>
      <c r="AB45" s="774">
        <f t="shared" si="4"/>
        <v>1</v>
      </c>
      <c r="AC45" s="2675">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1815">
        <f t="shared" si="11"/>
        <v>111</v>
      </c>
      <c r="R46" s="775" t="s">
        <v>17</v>
      </c>
      <c r="S46" s="776">
        <f t="shared" si="12"/>
        <v>100</v>
      </c>
      <c r="T46" s="775" t="s">
        <v>17</v>
      </c>
      <c r="U46" s="776">
        <f t="shared" si="13"/>
        <v>100</v>
      </c>
      <c r="V46" s="775" t="s">
        <v>17</v>
      </c>
      <c r="W46" s="776">
        <f t="shared" si="14"/>
        <v>100</v>
      </c>
      <c r="X46" s="1818"/>
      <c r="Y46" s="3349"/>
      <c r="Z46" s="1819">
        <f t="shared" si="15"/>
        <v>111</v>
      </c>
      <c r="AA46" s="1816">
        <f t="shared" si="3"/>
        <v>1</v>
      </c>
      <c r="AB46" s="1816">
        <f t="shared" si="4"/>
        <v>1</v>
      </c>
      <c r="AC46" s="2678">
        <f t="shared" si="5"/>
        <v>1</v>
      </c>
    </row>
    <row r="47" spans="1:29" ht="15.75" thickBot="1">
      <c r="A47" s="479"/>
      <c r="B47" s="2606">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1815">
        <f t="shared" si="11"/>
        <v>111</v>
      </c>
      <c r="R47" s="775" t="s">
        <v>17</v>
      </c>
      <c r="S47" s="776">
        <f t="shared" si="12"/>
        <v>100</v>
      </c>
      <c r="T47" s="775" t="s">
        <v>17</v>
      </c>
      <c r="U47" s="776">
        <f t="shared" si="13"/>
        <v>100</v>
      </c>
      <c r="V47" s="775" t="s">
        <v>17</v>
      </c>
      <c r="W47" s="776">
        <f t="shared" si="14"/>
        <v>100</v>
      </c>
      <c r="X47" s="1818"/>
      <c r="Y47" s="3350"/>
      <c r="Z47" s="1819">
        <f t="shared" si="15"/>
        <v>111</v>
      </c>
      <c r="AA47" s="1816">
        <f t="shared" si="3"/>
        <v>1</v>
      </c>
      <c r="AB47" s="1816">
        <f t="shared" si="4"/>
        <v>1</v>
      </c>
      <c r="AC47" s="2678">
        <f t="shared" si="5"/>
        <v>1</v>
      </c>
    </row>
    <row r="48" spans="1:29" ht="15">
      <c r="A48" s="480" t="s">
        <v>2578</v>
      </c>
      <c r="B48" s="481"/>
      <c r="C48" s="1411" t="s">
        <v>1</v>
      </c>
      <c r="D48" s="1412"/>
      <c r="E48" s="1413"/>
      <c r="F48" s="1414"/>
      <c r="G48" s="1415"/>
      <c r="H48" s="1416"/>
      <c r="I48" s="1413"/>
      <c r="J48" s="486"/>
      <c r="K48" s="784"/>
      <c r="L48" s="1147"/>
      <c r="M48" s="1135"/>
      <c r="N48" s="1135"/>
      <c r="O48" s="1135"/>
      <c r="P48" s="3322" t="str">
        <f>A48</f>
        <v>成交单价（元/平方米）</v>
      </c>
      <c r="Q48" s="3351"/>
      <c r="R48" s="3352">
        <f>E48</f>
        <v>0</v>
      </c>
      <c r="S48" s="3352"/>
      <c r="T48" s="3352">
        <f>G48</f>
        <v>0</v>
      </c>
      <c r="U48" s="3352"/>
      <c r="V48" s="3352">
        <f>I48</f>
        <v>0</v>
      </c>
      <c r="W48" s="3352"/>
      <c r="X48" s="447"/>
      <c r="Y48" s="782"/>
      <c r="Z48" s="447"/>
      <c r="AA48" s="447"/>
      <c r="AB48" s="447"/>
      <c r="AC48" s="631"/>
    </row>
    <row r="49" spans="1:29" ht="15.75" thickBot="1">
      <c r="A49" s="487" t="s">
        <v>2670</v>
      </c>
      <c r="B49" s="488"/>
      <c r="C49" s="1417" t="e">
        <f>R50</f>
        <v>#DIV/0!</v>
      </c>
      <c r="D49" s="1418"/>
      <c r="E49" s="1419" t="e">
        <f>R49</f>
        <v>#DIV/0!</v>
      </c>
      <c r="F49" s="1419"/>
      <c r="G49" s="1417" t="e">
        <f>T49</f>
        <v>#DIV/0!</v>
      </c>
      <c r="H49" s="1418"/>
      <c r="I49" s="1419" t="e">
        <f>V49</f>
        <v>#DIV/0!</v>
      </c>
      <c r="J49" s="490"/>
      <c r="K49" s="785"/>
      <c r="L49" s="1147"/>
      <c r="M49" s="1135"/>
      <c r="N49" s="1135"/>
      <c r="O49" s="1135"/>
      <c r="P49" s="3322"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7"/>
      <c r="Y49" s="447"/>
      <c r="Z49" s="447"/>
      <c r="AA49" s="447"/>
      <c r="AB49" s="447"/>
      <c r="AC49" s="631"/>
    </row>
    <row r="50" spans="1:29" ht="15.75" thickBot="1">
      <c r="A50" s="493" t="s">
        <v>2671</v>
      </c>
      <c r="B50" s="494"/>
      <c r="C50" s="1421" t="e">
        <f>R50</f>
        <v>#DIV/0!</v>
      </c>
      <c r="D50" s="1421"/>
      <c r="E50" s="1421"/>
      <c r="F50" s="1421"/>
      <c r="G50" s="1421"/>
      <c r="H50" s="1421"/>
      <c r="I50" s="1421"/>
      <c r="J50" s="495"/>
      <c r="K50" s="786"/>
      <c r="L50" s="1147"/>
      <c r="M50" s="1135"/>
      <c r="N50" s="1135"/>
      <c r="O50" s="1135"/>
      <c r="P50" s="3353" t="str">
        <f>A50</f>
        <v>估价对象XX用房的比较价值（楼面单价，元/平方米）</v>
      </c>
      <c r="Q50" s="3354"/>
      <c r="R50" s="3355" t="e">
        <f>IF(F1="售价",ROUND(AVERAGE(R49:V49),0),ROUND(AVERAGE(R49:V49),1))</f>
        <v>#DIV/0!</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2673</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2674</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2653</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f>C9</f>
        <v>0</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c r="D69" s="550"/>
      <c r="E69" s="550"/>
      <c r="F69" s="550"/>
      <c r="G69" s="550"/>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111</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111</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111</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8"/>
      <c r="Q86" s="505"/>
    </row>
    <row r="87" spans="1:17" s="117" customFormat="1" ht="27.75" thickTop="1">
      <c r="A87" s="580"/>
      <c r="B87" s="539" t="s">
        <v>2700</v>
      </c>
      <c r="C87" s="555"/>
      <c r="D87" s="555"/>
      <c r="E87" s="555"/>
      <c r="F87" s="555"/>
      <c r="G87" s="555"/>
      <c r="H87" s="555"/>
      <c r="I87" s="555"/>
      <c r="J87" s="555"/>
      <c r="K87" s="555"/>
      <c r="L87" s="581"/>
      <c r="M87" s="582"/>
      <c r="N87" s="1155"/>
      <c r="O87" s="1155"/>
      <c r="P87" s="2688"/>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8"/>
      <c r="Q88" s="505"/>
    </row>
    <row r="89" spans="1:17" s="117" customFormat="1" ht="15.75" thickTop="1">
      <c r="A89" s="580"/>
      <c r="B89" s="539" t="str">
        <f>B27</f>
        <v>楼层</v>
      </c>
      <c r="C89" s="555"/>
      <c r="D89" s="555"/>
      <c r="E89" s="555"/>
      <c r="F89" s="2639"/>
      <c r="G89" s="555"/>
      <c r="H89" s="555"/>
      <c r="I89" s="555"/>
      <c r="J89" s="555"/>
      <c r="K89" s="555"/>
      <c r="L89" s="555"/>
      <c r="M89" s="582"/>
      <c r="N89" s="1155"/>
      <c r="O89" s="1155"/>
      <c r="P89" s="2688"/>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531"/>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8"/>
      <c r="Q102" s="505"/>
    </row>
    <row r="103" spans="1:17" ht="15.75" thickTop="1">
      <c r="A103" s="535"/>
      <c r="B103" s="539" t="s">
        <v>2614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8"/>
      <c r="Q103" s="505"/>
    </row>
    <row r="104" spans="1:17" s="472" customFormat="1">
      <c r="A104" s="594"/>
      <c r="B104" s="595"/>
      <c r="C104" s="596"/>
      <c r="D104" s="596"/>
      <c r="E104" s="596"/>
      <c r="F104" s="596"/>
      <c r="G104" s="596"/>
      <c r="H104" s="596"/>
      <c r="I104" s="596"/>
      <c r="J104" s="597"/>
      <c r="K104" s="597"/>
      <c r="L104" s="598"/>
      <c r="M104" s="599"/>
      <c r="N104" s="1158"/>
      <c r="O104" s="1158"/>
      <c r="P104" s="2689"/>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9"/>
      <c r="Q105" s="560"/>
    </row>
    <row r="106" spans="1:17" ht="15" thickTop="1">
      <c r="A106" s="600"/>
      <c r="B106" s="539" t="s">
        <v>2615</v>
      </c>
      <c r="C106" s="555"/>
      <c r="D106" s="555"/>
      <c r="E106" s="584"/>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8"/>
      <c r="Q107" s="505"/>
    </row>
    <row r="108" spans="1:17" ht="15" thickTop="1">
      <c r="A108" s="600"/>
      <c r="B108" s="539" t="s">
        <v>2617</v>
      </c>
      <c r="C108" s="555"/>
      <c r="D108" s="555"/>
      <c r="E108" s="555"/>
      <c r="F108" s="584"/>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8"/>
      <c r="Q112" s="505"/>
    </row>
    <row r="113" spans="1:17" s="472" customFormat="1" ht="15" thickTop="1">
      <c r="A113" s="594"/>
      <c r="B113" s="539" t="s">
        <v>2701</v>
      </c>
      <c r="C113" s="555"/>
      <c r="D113" s="555"/>
      <c r="E113" s="555"/>
      <c r="F113" s="555"/>
      <c r="G113" s="555"/>
      <c r="H113" s="584"/>
      <c r="I113" s="584"/>
      <c r="J113" s="584"/>
      <c r="K113" s="585"/>
      <c r="L113" s="586"/>
      <c r="M113" s="587"/>
      <c r="N113" s="1158"/>
      <c r="O113" s="1158"/>
      <c r="P113" s="2689"/>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9"/>
      <c r="Q114" s="560"/>
    </row>
    <row r="115" spans="1:17" ht="15" thickTop="1">
      <c r="A115" s="600"/>
      <c r="B115" s="539" t="s">
        <v>2618</v>
      </c>
      <c r="C115" s="555"/>
      <c r="D115" s="555"/>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8"/>
      <c r="Q116" s="505"/>
    </row>
    <row r="117" spans="1:17" ht="15" thickTop="1">
      <c r="A117" s="600"/>
      <c r="B117" s="539" t="s">
        <v>2619</v>
      </c>
      <c r="C117" s="555"/>
      <c r="D117" s="555"/>
      <c r="E117" s="555"/>
      <c r="F117" s="555"/>
      <c r="G117" s="555"/>
      <c r="H117" s="584"/>
      <c r="I117" s="584"/>
      <c r="J117" s="584"/>
      <c r="K117" s="585"/>
      <c r="L117" s="586"/>
      <c r="M117" s="587"/>
      <c r="N117" s="1156"/>
      <c r="O117" s="1156"/>
      <c r="P117" s="2688"/>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8"/>
      <c r="Q118" s="505"/>
    </row>
    <row r="119" spans="1:17" ht="15" thickTop="1">
      <c r="A119" s="600"/>
      <c r="B119" s="637" t="s">
        <v>2702</v>
      </c>
      <c r="C119" s="584"/>
      <c r="D119" s="584"/>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8"/>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89"/>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9"/>
      <c r="Q122" s="560"/>
    </row>
    <row r="123" spans="1:17" ht="15" thickTop="1">
      <c r="A123" s="600"/>
      <c r="B123" s="539" t="s">
        <v>2621</v>
      </c>
      <c r="C123" s="555"/>
      <c r="D123" s="555"/>
      <c r="E123" s="555"/>
      <c r="F123" s="584"/>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8"/>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111</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111</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104" sqref="C104:J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3470</v>
      </c>
      <c r="F5" s="3315"/>
      <c r="G5" s="3356" t="s">
        <v>3471</v>
      </c>
      <c r="H5" s="3317"/>
      <c r="I5" s="3356" t="s">
        <v>3472</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2" t="s">
        <v>2561</v>
      </c>
      <c r="Q15" s="2978" t="str">
        <f t="shared" si="6"/>
        <v>办公集聚程度</v>
      </c>
      <c r="R15" s="775" t="s">
        <v>17</v>
      </c>
      <c r="S15" s="776">
        <f t="shared" si="0"/>
        <v>100</v>
      </c>
      <c r="T15" s="775" t="s">
        <v>17</v>
      </c>
      <c r="U15" s="776">
        <f t="shared" si="1"/>
        <v>102</v>
      </c>
      <c r="V15" s="775" t="s">
        <v>17</v>
      </c>
      <c r="W15" s="776">
        <f t="shared" si="2"/>
        <v>102</v>
      </c>
      <c r="X15" s="2982"/>
      <c r="Y15" s="3344" t="s">
        <v>2561</v>
      </c>
      <c r="Z15" s="2981" t="str">
        <f t="shared" si="7"/>
        <v>办公集聚程度</v>
      </c>
      <c r="AA15" s="2979">
        <f t="shared" si="3"/>
        <v>1</v>
      </c>
      <c r="AB15" s="2979">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43"/>
      <c r="Q25" s="2978" t="str">
        <f>B25</f>
        <v>毗邻道路的类型与等级</v>
      </c>
      <c r="R25" s="775" t="s">
        <v>17</v>
      </c>
      <c r="S25" s="776">
        <f>F25</f>
        <v>94</v>
      </c>
      <c r="T25" s="775" t="s">
        <v>17</v>
      </c>
      <c r="U25" s="776">
        <f>H25</f>
        <v>100</v>
      </c>
      <c r="V25" s="775" t="s">
        <v>17</v>
      </c>
      <c r="W25" s="776">
        <f>J25</f>
        <v>100</v>
      </c>
      <c r="X25" s="2982"/>
      <c r="Y25" s="3345"/>
      <c r="Z25" s="2981" t="str">
        <f>Q25</f>
        <v>毗邻道路的类型与等级</v>
      </c>
      <c r="AA25" s="2979">
        <f t="shared" si="3"/>
        <v>1.0638297872340425</v>
      </c>
      <c r="AB25" s="2979">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3388</v>
      </c>
      <c r="D27" s="436">
        <v>100</v>
      </c>
      <c r="E27" s="617" t="s">
        <v>3388</v>
      </c>
      <c r="F27" s="436">
        <f>SUMIF(89:89,E27,90:90)-SUMIF(89:89,C27,90:90)+100</f>
        <v>100</v>
      </c>
      <c r="G27" s="635" t="s">
        <v>3388</v>
      </c>
      <c r="H27" s="436">
        <f>SUMIF(89:89,G27,90:90)-SUMIF(89:89,C27,90:90)+100</f>
        <v>100</v>
      </c>
      <c r="I27" s="617" t="s">
        <v>3388</v>
      </c>
      <c r="J27" s="436">
        <f>SUMIF(89:89,I27,90:90)-SUMIF(89:89,C27,90:90)+100</f>
        <v>100</v>
      </c>
      <c r="K27" s="613">
        <v>5</v>
      </c>
      <c r="L27" s="1144"/>
      <c r="M27" s="1135"/>
      <c r="N27" s="1135"/>
      <c r="O27" s="1135"/>
      <c r="P27" s="3343"/>
      <c r="Q27" s="2978" t="str">
        <f t="shared" ref="Q27:Q47" si="11">B27</f>
        <v>楼层</v>
      </c>
      <c r="R27" s="775" t="s">
        <v>17</v>
      </c>
      <c r="S27" s="776">
        <f>F27</f>
        <v>100</v>
      </c>
      <c r="T27" s="775" t="s">
        <v>17</v>
      </c>
      <c r="U27" s="776">
        <f>H27</f>
        <v>100</v>
      </c>
      <c r="V27" s="775" t="s">
        <v>17</v>
      </c>
      <c r="W27" s="776">
        <f>J27</f>
        <v>100</v>
      </c>
      <c r="X27" s="2982"/>
      <c r="Y27" s="3345"/>
      <c r="Z27" s="2981" t="str">
        <f>Q27</f>
        <v>楼层</v>
      </c>
      <c r="AA27" s="2979">
        <f t="shared" si="3"/>
        <v>1</v>
      </c>
      <c r="AB27" s="2979">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225</v>
      </c>
      <c r="F34" s="426">
        <f>LOOKUP(E34,104:104,105:105)-LOOKUP(C34,104:104,105:105)+100</f>
        <v>100</v>
      </c>
      <c r="G34" s="3021">
        <v>1050</v>
      </c>
      <c r="H34" s="136">
        <f>LOOKUP(G34,104:104,105:105)-LOOKUP(C34,104:104,105:105)+100</f>
        <v>100</v>
      </c>
      <c r="I34" s="430">
        <v>200</v>
      </c>
      <c r="J34" s="136">
        <f>LOOKUP(I34,104:104,105:105)-LOOKUP(C34,104:104,105:105)+100</f>
        <v>100</v>
      </c>
      <c r="K34" s="614"/>
      <c r="L34" s="1142"/>
      <c r="M34" s="1145"/>
      <c r="N34" s="1145"/>
      <c r="O34" s="1145"/>
      <c r="P34" s="3347"/>
      <c r="Q34" s="777" t="str">
        <f t="shared" si="11"/>
        <v>项目建筑规模</v>
      </c>
      <c r="R34" s="778" t="s">
        <v>17</v>
      </c>
      <c r="S34" s="779">
        <f t="shared" si="12"/>
        <v>100</v>
      </c>
      <c r="T34" s="778" t="s">
        <v>17</v>
      </c>
      <c r="U34" s="779">
        <f t="shared" si="13"/>
        <v>100</v>
      </c>
      <c r="V34" s="778" t="s">
        <v>17</v>
      </c>
      <c r="W34" s="779">
        <f t="shared" si="14"/>
        <v>100</v>
      </c>
      <c r="X34" s="780"/>
      <c r="Y34" s="3349"/>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0.8</v>
      </c>
      <c r="F37" s="462">
        <f>LOOKUP(E37,111:111,112:112)-LOOKUP(C37,111:111,112:112)+100</f>
        <v>100</v>
      </c>
      <c r="G37" s="3022">
        <v>0.8</v>
      </c>
      <c r="H37" s="462">
        <f>LOOKUP(G37,111:111,112:112)-LOOKUP(C37,111:111,112:112)+100</f>
        <v>100</v>
      </c>
      <c r="I37" s="475">
        <v>0.82</v>
      </c>
      <c r="J37" s="436">
        <f>LOOKUP(I37,111:111,112:112)-LOOKUP(C37,111:111,112:112)+100</f>
        <v>100</v>
      </c>
      <c r="K37" s="613">
        <v>2</v>
      </c>
      <c r="L37" s="1144"/>
      <c r="M37" s="1135"/>
      <c r="N37" s="1135"/>
      <c r="O37" s="1135"/>
      <c r="P37" s="3347"/>
      <c r="Q37" s="2978" t="str">
        <f t="shared" si="11"/>
        <v>成新度</v>
      </c>
      <c r="R37" s="775" t="s">
        <v>17</v>
      </c>
      <c r="S37" s="776">
        <f t="shared" si="12"/>
        <v>100</v>
      </c>
      <c r="T37" s="775" t="s">
        <v>17</v>
      </c>
      <c r="U37" s="776">
        <f t="shared" si="13"/>
        <v>100</v>
      </c>
      <c r="V37" s="775" t="s">
        <v>17</v>
      </c>
      <c r="W37" s="776">
        <f t="shared" si="14"/>
        <v>100</v>
      </c>
      <c r="X37" s="2982"/>
      <c r="Y37" s="3349"/>
      <c r="Z37" s="2981" t="str">
        <f t="shared" si="15"/>
        <v>成新度</v>
      </c>
      <c r="AA37" s="2979">
        <f t="shared" si="3"/>
        <v>1</v>
      </c>
      <c r="AB37" s="2979">
        <f t="shared" si="4"/>
        <v>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22" t="str">
        <f>A48</f>
        <v>成交单价（元/平方米）</v>
      </c>
      <c r="Q48" s="3351"/>
      <c r="R48" s="3352">
        <f>E48</f>
        <v>41850</v>
      </c>
      <c r="S48" s="3352"/>
      <c r="T48" s="3352">
        <f>G48</f>
        <v>45105</v>
      </c>
      <c r="U48" s="3352"/>
      <c r="V48" s="3352">
        <f>I48</f>
        <v>41850</v>
      </c>
      <c r="W48" s="3352"/>
      <c r="X48" s="447"/>
      <c r="Y48" s="782"/>
      <c r="Z48" s="447"/>
      <c r="AA48" s="447"/>
      <c r="AB48" s="447"/>
      <c r="AC48" s="631"/>
    </row>
    <row r="49" spans="1:29" ht="15.75" thickBot="1">
      <c r="A49" s="487" t="s">
        <v>2579</v>
      </c>
      <c r="B49" s="488"/>
      <c r="C49" s="1417">
        <f>R50</f>
        <v>45994</v>
      </c>
      <c r="D49" s="1418"/>
      <c r="E49" s="1419">
        <f>R49</f>
        <v>47338</v>
      </c>
      <c r="F49" s="1419"/>
      <c r="G49" s="1417">
        <f>T49</f>
        <v>47018</v>
      </c>
      <c r="H49" s="1418"/>
      <c r="I49" s="1419">
        <f>V49</f>
        <v>43625</v>
      </c>
      <c r="J49" s="490"/>
      <c r="K49" s="785"/>
      <c r="L49" s="1147"/>
      <c r="M49" s="1135"/>
      <c r="N49" s="1135"/>
      <c r="O49" s="1135"/>
      <c r="P49" s="3322" t="str">
        <f>A49</f>
        <v>比较价值（元/平方米）</v>
      </c>
      <c r="Q49" s="3351"/>
      <c r="R49" s="3352">
        <f>IF(F1="售价",ROUND(PRODUCT(R48,AA7:AA47),0),ROUND(PRODUCT(R48,AA7:AA47),1))</f>
        <v>47338</v>
      </c>
      <c r="S49" s="3352"/>
      <c r="T49" s="3352">
        <f>IF(F1="售价",ROUND(PRODUCT(T48,AB7:AB47),0),ROUND(PRODUCT(T48,AB7:AB47),1))</f>
        <v>47018</v>
      </c>
      <c r="U49" s="3352"/>
      <c r="V49" s="3352">
        <f>IF(F1="售价",ROUND(PRODUCT(V48,AC7:AC47),0),ROUND(PRODUCT(V48,AC7:AC47),1))</f>
        <v>43625</v>
      </c>
      <c r="W49" s="3352"/>
      <c r="X49" s="447"/>
      <c r="Y49" s="447"/>
      <c r="Z49" s="447"/>
      <c r="AA49" s="447"/>
      <c r="AB49" s="447"/>
      <c r="AC49" s="631"/>
    </row>
    <row r="50" spans="1:29" ht="15.75" thickBot="1">
      <c r="A50" s="493" t="s">
        <v>2580</v>
      </c>
      <c r="B50" s="494"/>
      <c r="C50" s="1421">
        <f>R50</f>
        <v>45994</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45994</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0.13113500597371575</v>
      </c>
      <c r="F53" s="501" t="str">
        <f>IF(OR(E53&gt;=0.3,E53&lt;=-0.3),"超过30%","")</f>
        <v/>
      </c>
      <c r="G53" s="500">
        <f>IF(G48&lt;G49,G49/G48-1,G48/G49-1)</f>
        <v>4.2412149429109869E-2</v>
      </c>
      <c r="H53" s="501" t="str">
        <f>IF(OR(G53&gt;=0.3,G53&lt;=-0.3),"超过30%","")</f>
        <v/>
      </c>
      <c r="I53" s="500">
        <f>IF(I48&lt;I49,I49/I48-1,I48/I49-1)</f>
        <v>4.241338112305848E-2</v>
      </c>
      <c r="J53" s="501" t="str">
        <f>IF(OR(I53&gt;=0.3,I53&lt;=-0.3),"超过30%","")</f>
        <v/>
      </c>
      <c r="K53" s="1109"/>
      <c r="L53" s="1110"/>
      <c r="M53" s="1148"/>
      <c r="N53" s="1148"/>
      <c r="O53" s="1148"/>
    </row>
    <row r="54" spans="1:29" ht="13.5" customHeight="1">
      <c r="A54" s="1148"/>
      <c r="B54" s="1148"/>
      <c r="C54" s="498" t="s">
        <v>2582</v>
      </c>
      <c r="D54" s="502"/>
      <c r="E54" s="500">
        <f>IF(E49&lt;G49,G49/E49-1,E49/G49-1)</f>
        <v>6.8059041218255789E-3</v>
      </c>
      <c r="F54" s="501" t="str">
        <f>IF(OR(E54&gt;=0.2,E54&lt;=-0.2),"超过20%","")</f>
        <v/>
      </c>
      <c r="G54" s="500">
        <f>IF(G49&lt;I49,I49/G49-1,G49/I49-1)</f>
        <v>7.777650429799432E-2</v>
      </c>
      <c r="H54" s="501" t="str">
        <f>IF(OR(G54&gt;=0.2,G54&lt;=-0.2),"超过20%","")</f>
        <v/>
      </c>
      <c r="I54" s="500">
        <f>IF(I49&lt;E49,E49/I49-1,I49/E49-1)</f>
        <v>8.5111747851002839E-2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0" t="s">
        <v>3016</v>
      </c>
      <c r="B17" s="2921"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3" t="s">
        <v>3020</v>
      </c>
      <c r="E20" s="1798"/>
      <c r="F20" s="1208" t="e">
        <f ca="1">SUMIF(INDIRECT("'"&amp;H20&amp;"'"&amp;"!A:A"),"承租人权益价值",INDIRECT("'"&amp;H20&amp;"'"&amp;"!c:c"))</f>
        <v>#REF!</v>
      </c>
      <c r="G20" s="1208" t="s">
        <v>3021</v>
      </c>
      <c r="H20" s="2924"/>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197" t="s">
        <v>33</v>
      </c>
      <c r="D22" s="3198"/>
      <c r="E22" s="3198"/>
      <c r="F22" s="3198"/>
      <c r="G22" s="3198"/>
      <c r="H22" s="3198"/>
      <c r="I22" s="3198"/>
      <c r="J22" s="3198"/>
      <c r="K22" s="3198"/>
      <c r="L22" s="3198"/>
      <c r="M22" s="3198"/>
      <c r="N22" s="3198"/>
      <c r="O22" s="3198"/>
      <c r="P22" s="3198"/>
      <c r="Q22" s="3358"/>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3461</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1302"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1805" t="s">
        <v>1420</v>
      </c>
      <c r="E14" s="1799"/>
      <c r="F14" s="365"/>
      <c r="G14" s="1856"/>
      <c r="H14" s="1205" t="s">
        <v>1035</v>
      </c>
      <c r="I14" s="348" t="s">
        <v>1421</v>
      </c>
      <c r="J14" s="24" t="e">
        <f ca="1">C29</f>
        <v>#N/A</v>
      </c>
      <c r="K14" s="1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134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1805" t="s">
        <v>1432</v>
      </c>
      <c r="L17" s="1803"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182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t="e">
        <f ca="1">ROUND(J14*M22,1)</f>
        <v>#N/A</v>
      </c>
      <c r="K22" s="1803"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1803"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1342"/>
      <c r="F30" s="1298"/>
      <c r="G30" s="1856"/>
      <c r="H30" s="746"/>
      <c r="I30" s="747"/>
      <c r="J30" s="748"/>
      <c r="K30" s="749"/>
      <c r="L30" s="750"/>
      <c r="M30" s="751"/>
    </row>
    <row r="31" spans="1:37" ht="18" customHeight="1">
      <c r="A31" s="1205" t="s">
        <v>1035</v>
      </c>
      <c r="B31" s="348" t="s">
        <v>1431</v>
      </c>
      <c r="C31" s="24" t="e">
        <f ca="1">ROUND(IF(项目基本情况!B11="自然人",C5*F31,C32+C33+C34),1)</f>
        <v>#N/A</v>
      </c>
      <c r="D31" s="1805" t="s">
        <v>1432</v>
      </c>
      <c r="E31" s="1803"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1803"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1803"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1822"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f>市场租金!A3</f>
        <v>8.5</v>
      </c>
      <c r="G49" s="1896"/>
      <c r="H49" s="794"/>
      <c r="I49" s="1892" t="s">
        <v>1536</v>
      </c>
      <c r="J49" s="1897">
        <v>2008</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50</v>
      </c>
      <c r="K51" s="1905" t="s">
        <v>1543</v>
      </c>
      <c r="L51" s="1906" t="e">
        <f ca="1">ROUND(-PV(INDIRECT("'数据-取费表'!h"&amp;$G$1),L48,(C39-C13*C76),0),0)</f>
        <v>#N/A</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1837"/>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市场租金!B4</f>
        <v>0.03</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3498</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77"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3031</v>
      </c>
      <c r="E10" s="359" t="s">
        <v>1412</v>
      </c>
      <c r="F10" s="1370" t="s">
        <v>3054</v>
      </c>
      <c r="G10" s="1856"/>
      <c r="H10" s="1295" t="s">
        <v>1039</v>
      </c>
      <c r="I10" s="1828" t="s">
        <v>1410</v>
      </c>
      <c r="J10" s="347" t="e">
        <f ca="1">ROUND(IF(M10="押一",M6*M8*M7/12*M11,IF(M10="押二",M6*M8*M7/12*2*M11,IF(M10="押三",M6*M8*M7/12*3*M11,J11*M11)))/10000,0)</f>
        <v>#N/A</v>
      </c>
      <c r="K10" s="1829" t="s">
        <v>3031</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64" t="s">
        <v>1420</v>
      </c>
      <c r="E14" s="2959"/>
      <c r="F14" s="365"/>
      <c r="G14" s="1856"/>
      <c r="H14" s="1205" t="s">
        <v>1035</v>
      </c>
      <c r="I14" s="348" t="s">
        <v>1421</v>
      </c>
      <c r="J14" s="24" t="e">
        <f ca="1">C29</f>
        <v>#N/A</v>
      </c>
      <c r="K14" s="2976"/>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66"/>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64" t="s">
        <v>1432</v>
      </c>
      <c r="L17" s="2962"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62"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7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74"/>
      <c r="F22" s="26"/>
      <c r="G22" s="1856"/>
      <c r="H22" s="1205" t="s">
        <v>1039</v>
      </c>
      <c r="I22" s="348" t="s">
        <v>1451</v>
      </c>
      <c r="J22" s="24" t="e">
        <f ca="1">ROUND(J14*M22,1)</f>
        <v>#N/A</v>
      </c>
      <c r="K22" s="2962"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62"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66"/>
      <c r="F30" s="1298"/>
      <c r="G30" s="1856"/>
      <c r="H30" s="746"/>
      <c r="I30" s="747"/>
      <c r="J30" s="748"/>
      <c r="K30" s="749"/>
      <c r="L30" s="750"/>
      <c r="M30" s="751"/>
    </row>
    <row r="31" spans="1:37" ht="18" customHeight="1">
      <c r="A31" s="1205" t="s">
        <v>1035</v>
      </c>
      <c r="B31" s="348" t="s">
        <v>1431</v>
      </c>
      <c r="C31" s="24" t="e">
        <f ca="1">ROUND(IF(项目基本情况!B11="自然人",C5*F31,C32+C33+C34),1)</f>
        <v>#N/A</v>
      </c>
      <c r="D31" s="2964" t="s">
        <v>1432</v>
      </c>
      <c r="E31" s="2962"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62"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62"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62"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7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3031</v>
      </c>
      <c r="E53" s="359" t="s">
        <v>1412</v>
      </c>
      <c r="F53" s="1370"/>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69"/>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69"/>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4" t="s">
        <v>1404</v>
      </c>
      <c r="C6" s="1300">
        <f ca="1">ROUND(F6*F8*F7*(1-F9),0)</f>
        <v>0</v>
      </c>
      <c r="D6" s="165" t="s">
        <v>3030</v>
      </c>
      <c r="E6" s="348" t="s">
        <v>1406</v>
      </c>
      <c r="F6" s="349">
        <f ca="1">INDIRECT("'数据-取费表'!u"&amp;$G$1)</f>
        <v>0</v>
      </c>
      <c r="G6" s="1856"/>
      <c r="H6" s="1295" t="s">
        <v>1035</v>
      </c>
      <c r="I6" s="3364" t="s">
        <v>1404</v>
      </c>
      <c r="J6" s="347">
        <f ca="1">ROUND(M6*M8*M7*(1-M9),0)</f>
        <v>0</v>
      </c>
      <c r="K6" s="1839" t="s">
        <v>3033</v>
      </c>
      <c r="L6" s="348" t="s">
        <v>1406</v>
      </c>
      <c r="M6" s="349">
        <f ca="1">INDIRECT("'数据-取费表'!z"&amp;$G$1)</f>
        <v>0</v>
      </c>
    </row>
    <row r="7" spans="1:37" ht="18" customHeight="1">
      <c r="A7" s="1299"/>
      <c r="B7" s="3365"/>
      <c r="C7" s="1301"/>
      <c r="D7" s="353"/>
      <c r="E7" s="1302" t="s">
        <v>1407</v>
      </c>
      <c r="F7" s="349">
        <f ca="1">IF(INDIRECT("'数据-取费表'!ah"&amp;$G$1)="",INDIRECT("'数据-取费表'!k"&amp;$G$1),INDIRECT("'数据-取费表'!ah"&amp;$G$1))</f>
        <v>0</v>
      </c>
      <c r="G7" s="1856"/>
      <c r="H7" s="350"/>
      <c r="I7" s="3365"/>
      <c r="J7" s="352"/>
      <c r="K7" s="353"/>
      <c r="L7" s="348" t="s">
        <v>1407</v>
      </c>
      <c r="M7" s="349">
        <f ca="1">F7</f>
        <v>0</v>
      </c>
    </row>
    <row r="8" spans="1:37" ht="18" customHeight="1">
      <c r="A8" s="350"/>
      <c r="B8" s="3365"/>
      <c r="C8" s="352"/>
      <c r="D8" s="353"/>
      <c r="E8" s="348" t="s">
        <v>1408</v>
      </c>
      <c r="F8" s="349">
        <f ca="1">INDIRECT("'数据-取费表'!ai"&amp;$G$1)</f>
        <v>0</v>
      </c>
      <c r="G8" s="1856"/>
      <c r="H8" s="350"/>
      <c r="I8" s="3365"/>
      <c r="J8" s="352"/>
      <c r="K8" s="353"/>
      <c r="L8" s="348" t="s">
        <v>1408</v>
      </c>
      <c r="M8" s="349">
        <f ca="1">INDIRECT("'数据-取费表'!ai"&amp;$G$1)</f>
        <v>0</v>
      </c>
    </row>
    <row r="9" spans="1:37" ht="18" customHeight="1">
      <c r="A9" s="350"/>
      <c r="B9" s="3366"/>
      <c r="C9" s="352"/>
      <c r="D9" s="353"/>
      <c r="E9" s="348" t="s">
        <v>1409</v>
      </c>
      <c r="F9" s="358">
        <f ca="1">INDIRECT("'数据-取费表'!w"&amp;$G$1)</f>
        <v>0</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2" t="s">
        <v>1550</v>
      </c>
      <c r="L53" s="3363"/>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f ca="1">IF(项目基本情况!B11="企业","",IF(INDIRECT("'数据-取费表'!c"&amp;$G$1)="住宅",5%,IF(F49*F50*F51/12/(1+'数据-取费表'!C42)&gt;20000,12%,7%)))</f>
        <v>7.0000000000000007E-2</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受贵公司委托，我公司对北京市出让国有建设用地使用权及在建建筑物房地产抵押价值进行了预评估。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I51" sqref="I51"/>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t="s">
        <v>3375</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35</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8.5</v>
      </c>
      <c r="C3" s="401" t="s">
        <v>2535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3427</v>
      </c>
      <c r="F5" s="3315"/>
      <c r="G5" s="3356" t="s">
        <v>3377</v>
      </c>
      <c r="H5" s="3317"/>
      <c r="I5" s="3356" t="s">
        <v>3378</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2" t="s">
        <v>2561</v>
      </c>
      <c r="Q15" s="2978" t="str">
        <f t="shared" si="6"/>
        <v>办公集聚程度</v>
      </c>
      <c r="R15" s="775" t="s">
        <v>17</v>
      </c>
      <c r="S15" s="776">
        <f t="shared" si="0"/>
        <v>100</v>
      </c>
      <c r="T15" s="775" t="s">
        <v>17</v>
      </c>
      <c r="U15" s="776">
        <f t="shared" si="1"/>
        <v>100</v>
      </c>
      <c r="V15" s="775" t="s">
        <v>17</v>
      </c>
      <c r="W15" s="776">
        <f t="shared" si="2"/>
        <v>100</v>
      </c>
      <c r="X15" s="2982"/>
      <c r="Y15" s="3344"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43"/>
      <c r="Q25" s="2978" t="str">
        <f>B25</f>
        <v>毗邻道路的类型与等级</v>
      </c>
      <c r="R25" s="775" t="s">
        <v>17</v>
      </c>
      <c r="S25" s="776">
        <f>F25</f>
        <v>100</v>
      </c>
      <c r="T25" s="775" t="s">
        <v>17</v>
      </c>
      <c r="U25" s="776">
        <f>H25</f>
        <v>100</v>
      </c>
      <c r="V25" s="775" t="s">
        <v>17</v>
      </c>
      <c r="W25" s="776">
        <f>J25</f>
        <v>94</v>
      </c>
      <c r="X25" s="2982"/>
      <c r="Y25" s="3345"/>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43"/>
      <c r="Q27" s="2978" t="str">
        <f t="shared" ref="Q27:Q47" si="11">B27</f>
        <v>楼层</v>
      </c>
      <c r="R27" s="775" t="s">
        <v>17</v>
      </c>
      <c r="S27" s="776">
        <f>F27</f>
        <v>95</v>
      </c>
      <c r="T27" s="775" t="s">
        <v>17</v>
      </c>
      <c r="U27" s="776">
        <f>H27</f>
        <v>90</v>
      </c>
      <c r="V27" s="775" t="s">
        <v>17</v>
      </c>
      <c r="W27" s="776">
        <f>J27</f>
        <v>100</v>
      </c>
      <c r="X27" s="2982"/>
      <c r="Y27" s="3345"/>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100</v>
      </c>
      <c r="G34" s="3021">
        <v>450</v>
      </c>
      <c r="H34" s="136">
        <f>LOOKUP(G34,104:104,105:105)-LOOKUP(C34,104:104,105:105)+100</f>
        <v>100</v>
      </c>
      <c r="I34" s="430">
        <v>350</v>
      </c>
      <c r="J34" s="136">
        <f>LOOKUP(I34,104:104,105:105)-LOOKUP(C34,104:104,105:105)+100</f>
        <v>100</v>
      </c>
      <c r="K34" s="614"/>
      <c r="L34" s="1142"/>
      <c r="M34" s="1145"/>
      <c r="N34" s="1145"/>
      <c r="O34" s="1145"/>
      <c r="P34" s="3347"/>
      <c r="Q34" s="777" t="str">
        <f t="shared" si="11"/>
        <v>项目建筑规模</v>
      </c>
      <c r="R34" s="778" t="s">
        <v>17</v>
      </c>
      <c r="S34" s="779">
        <f t="shared" si="12"/>
        <v>100</v>
      </c>
      <c r="T34" s="778" t="s">
        <v>17</v>
      </c>
      <c r="U34" s="779">
        <f t="shared" si="13"/>
        <v>100</v>
      </c>
      <c r="V34" s="778" t="s">
        <v>17</v>
      </c>
      <c r="W34" s="779">
        <f t="shared" si="14"/>
        <v>100</v>
      </c>
      <c r="X34" s="780"/>
      <c r="Y34" s="3349"/>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0.73</v>
      </c>
      <c r="F37" s="462">
        <f>LOOKUP(E37,111:111,112:112)-LOOKUP(C37,111:111,112:112)+100</f>
        <v>98</v>
      </c>
      <c r="G37" s="3022">
        <f>ROUND(1-(2018-2004)/60,2)</f>
        <v>0.77</v>
      </c>
      <c r="H37" s="462">
        <f>LOOKUP(G37,111:111,112:112)-LOOKUP(C37,111:111,112:112)+100</f>
        <v>98</v>
      </c>
      <c r="I37" s="475">
        <v>0.82</v>
      </c>
      <c r="J37" s="436">
        <f>LOOKUP(I37,111:111,112:112)-LOOKUP(C37,111:111,112:112)+100</f>
        <v>100</v>
      </c>
      <c r="K37" s="613">
        <v>2</v>
      </c>
      <c r="L37" s="1144"/>
      <c r="M37" s="1135"/>
      <c r="N37" s="1135"/>
      <c r="O37" s="1135"/>
      <c r="P37" s="3347"/>
      <c r="Q37" s="2978" t="str">
        <f t="shared" si="11"/>
        <v>成新度</v>
      </c>
      <c r="R37" s="775" t="s">
        <v>17</v>
      </c>
      <c r="S37" s="776">
        <f t="shared" si="12"/>
        <v>98</v>
      </c>
      <c r="T37" s="775" t="s">
        <v>17</v>
      </c>
      <c r="U37" s="776">
        <f t="shared" si="13"/>
        <v>98</v>
      </c>
      <c r="V37" s="775" t="s">
        <v>17</v>
      </c>
      <c r="W37" s="776">
        <f t="shared" si="14"/>
        <v>100</v>
      </c>
      <c r="X37" s="2982"/>
      <c r="Y37" s="3349"/>
      <c r="Z37" s="2981" t="str">
        <f t="shared" si="15"/>
        <v>成新度</v>
      </c>
      <c r="AA37" s="2979">
        <f t="shared" si="3"/>
        <v>1.0204081632653061</v>
      </c>
      <c r="AB37" s="2979">
        <f t="shared" si="4"/>
        <v>1.0204081632653061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22" t="str">
        <f>A48</f>
        <v>成交单价（元/平方米）</v>
      </c>
      <c r="Q48" s="3351"/>
      <c r="R48" s="3352">
        <f>E48</f>
        <v>7</v>
      </c>
      <c r="S48" s="3352"/>
      <c r="T48" s="3352">
        <f>G48</f>
        <v>7</v>
      </c>
      <c r="U48" s="3352"/>
      <c r="V48" s="3352">
        <f>I48</f>
        <v>8</v>
      </c>
      <c r="W48" s="3352"/>
      <c r="X48" s="447"/>
      <c r="Y48" s="782"/>
      <c r="Z48" s="447"/>
      <c r="AA48" s="447"/>
      <c r="AB48" s="447"/>
      <c r="AC48" s="631"/>
    </row>
    <row r="49" spans="1:29" ht="15.75" thickBot="1">
      <c r="A49" s="487" t="s">
        <v>2579</v>
      </c>
      <c r="B49" s="488"/>
      <c r="C49" s="1417">
        <f>R50</f>
        <v>8.5</v>
      </c>
      <c r="D49" s="1418"/>
      <c r="E49" s="1419">
        <f>R49</f>
        <v>8</v>
      </c>
      <c r="F49" s="1419"/>
      <c r="G49" s="1417">
        <f>T49</f>
        <v>8.4</v>
      </c>
      <c r="H49" s="1418"/>
      <c r="I49" s="1419">
        <f>V49</f>
        <v>9</v>
      </c>
      <c r="J49" s="490"/>
      <c r="K49" s="785"/>
      <c r="L49" s="1147"/>
      <c r="M49" s="1135"/>
      <c r="N49" s="1135"/>
      <c r="O49" s="1135"/>
      <c r="P49" s="3322" t="str">
        <f>A49</f>
        <v>比较价值（元/平方米）</v>
      </c>
      <c r="Q49" s="3351"/>
      <c r="R49" s="3352">
        <f>IF(F1="售价",ROUND(PRODUCT(R48,AA7:AA47),0),ROUND(PRODUCT(R48,AA7:AA47),1))</f>
        <v>8</v>
      </c>
      <c r="S49" s="3352"/>
      <c r="T49" s="3352">
        <f>IF(F1="售价",ROUND(PRODUCT(T48,AB7:AB47),0),ROUND(PRODUCT(T48,AB7:AB47),1))</f>
        <v>8.4</v>
      </c>
      <c r="U49" s="3352"/>
      <c r="V49" s="3352">
        <f>IF(F1="售价",ROUND(PRODUCT(V48,AC7:AC47),0),ROUND(PRODUCT(V48,AC7:AC47),1))</f>
        <v>9</v>
      </c>
      <c r="W49" s="3352"/>
      <c r="X49" s="447"/>
      <c r="Y49" s="447"/>
      <c r="Z49" s="447"/>
      <c r="AA49" s="447"/>
      <c r="AB49" s="447"/>
      <c r="AC49" s="631"/>
    </row>
    <row r="50" spans="1:29" ht="15.75" thickBot="1">
      <c r="A50" s="493" t="s">
        <v>2580</v>
      </c>
      <c r="B50" s="494"/>
      <c r="C50" s="1421">
        <f>R50</f>
        <v>8.5</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8.5</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0.14285714285714279</v>
      </c>
      <c r="F53" s="501" t="str">
        <f>IF(OR(E53&gt;=0.3,E53&lt;=-0.3),"超过30%","")</f>
        <v/>
      </c>
      <c r="G53" s="500">
        <f>IF(G48&lt;G49,G49/G48-1,G48/G49-1)</f>
        <v>0.19999999999999996</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2582</v>
      </c>
      <c r="D54" s="502"/>
      <c r="E54" s="500">
        <f>IF(E49&lt;G49,G49/E49-1,E49/G49-1)</f>
        <v>5.0000000000000044E-2</v>
      </c>
      <c r="F54" s="501" t="str">
        <f>IF(OR(E54&gt;=0.2,E54&lt;=-0.2),"超过20%","")</f>
        <v/>
      </c>
      <c r="G54" s="500">
        <f>IF(G49&lt;I49,I49/G49-1,G49/I49-1)</f>
        <v>7.1428571428571397E-2</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E11" sqref="E11"/>
    </sheetView>
  </sheetViews>
  <sheetFormatPr defaultRowHeight="13.5"/>
  <sheetData>
    <row r="1" spans="1:5">
      <c r="B1" s="3004" t="s">
        <v>3495</v>
      </c>
      <c r="C1" s="3004" t="s">
        <v>3497</v>
      </c>
      <c r="E1" s="3004" t="s">
        <v>3499</v>
      </c>
    </row>
    <row r="2" spans="1:5">
      <c r="A2" s="3004" t="s">
        <v>3496</v>
      </c>
      <c r="B2">
        <f>'比较法-办公已租'!C50</f>
        <v>45994</v>
      </c>
      <c r="C2" t="e">
        <f ca="1">ROUND(C3*10000/E2,0)</f>
        <v>#N/A</v>
      </c>
      <c r="E2">
        <f>'数据-汇总表'!F19+'数据-汇总表'!F20</f>
        <v>16057.43</v>
      </c>
    </row>
    <row r="3" spans="1:5">
      <c r="A3" s="3004" t="s">
        <v>3500</v>
      </c>
      <c r="B3">
        <f>ROUND(B2*E2/10000,0)</f>
        <v>73855</v>
      </c>
      <c r="C3" t="e">
        <f ca="1">'收益法-办公已租'!B2+'收益法-办公未租'!B2</f>
        <v>#N/A</v>
      </c>
    </row>
    <row r="4" spans="1:5">
      <c r="A4" s="3004" t="s">
        <v>3501</v>
      </c>
      <c r="B4" s="3367" t="e">
        <f ca="1">C3/B3-1</f>
        <v>#N/A</v>
      </c>
      <c r="C4" s="3367"/>
    </row>
    <row r="5" spans="1:5">
      <c r="A5" s="3004" t="s">
        <v>3502</v>
      </c>
      <c r="B5" s="2953">
        <v>0.5</v>
      </c>
      <c r="C5" s="2953">
        <v>0.5</v>
      </c>
    </row>
    <row r="6" spans="1:5">
      <c r="A6" s="3004" t="s">
        <v>3503</v>
      </c>
      <c r="B6" s="3082" t="e">
        <f ca="1">ROUND(B3*B5+C3*C5,0)</f>
        <v>#N/A</v>
      </c>
      <c r="C6" s="3082"/>
    </row>
    <row r="7" spans="1:5">
      <c r="A7" s="3004" t="s">
        <v>3504</v>
      </c>
      <c r="B7" s="3368" t="e">
        <f ca="1">ROUND(B6*10000/E2,0)</f>
        <v>#N/A</v>
      </c>
      <c r="C7" s="3368"/>
    </row>
  </sheetData>
  <mergeCells count="2">
    <mergeCell ref="B4:C4"/>
    <mergeCell ref="B7:C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c r="D4" s="2429"/>
      <c r="E4" s="3245" t="s">
        <v>2126</v>
      </c>
      <c r="F4" s="3258"/>
      <c r="G4" s="3258"/>
      <c r="H4" s="3258"/>
      <c r="I4" s="3246"/>
      <c r="K4" s="2430"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30"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c r="D14" s="3254"/>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SUMIF(INDIRECT("'"&amp;C4&amp;"'"&amp;"!A:A"),'结果表-办公已租'!B19,INDIRECT("'"&amp;C4&amp;"'"&amp;"!B:B"))</f>
        <v>#REF!</v>
      </c>
      <c r="D19" s="144" t="e">
        <f ca="1">SUMIF(INDIRECT("'"&amp;D4&amp;"'"&amp;"!A:A"),'结果表-办公已租'!B19,INDIRECT("'"&amp;D4&amp;"'"&amp;"!B:B"))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SUMIF(INDIRECT("'"&amp;C4&amp;"'"&amp;"!A:A"),'结果表-办公已租'!B20,INDIRECT("'"&amp;C4&amp;"'"&amp;"!B:B"))</f>
        <v>#REF!</v>
      </c>
      <c r="D20" s="147" t="e">
        <f ca="1">SUMIF(INDIRECT("'"&amp;D4&amp;"'"&amp;"!A:A"),'结果表-办公已租'!B20,INDIRECT("'"&amp;D4&amp;"'"&amp;"!B:B"))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t="e">
        <f ca="1">ROUND(H101*F45,0)</f>
        <v>#REF!</v>
      </c>
      <c r="E45" s="166" t="s">
        <v>2187</v>
      </c>
      <c r="F45" s="167">
        <v>1</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2971">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2971">
        <v>2</v>
      </c>
      <c r="K47" s="3191" t="s">
        <v>2197</v>
      </c>
      <c r="L47" s="3191"/>
      <c r="M47" s="3193">
        <f>'数据-取费表'!B2</f>
        <v>43104</v>
      </c>
      <c r="N47" s="3193"/>
      <c r="O47" s="3193"/>
    </row>
    <row r="48" spans="1:15" ht="25.5">
      <c r="A48" s="3259" t="s">
        <v>2198</v>
      </c>
      <c r="B48" s="3260"/>
      <c r="C48" s="3260"/>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191" t="s">
        <v>2201</v>
      </c>
      <c r="L48" s="3191"/>
      <c r="M48" s="3194" t="e">
        <f ca="1">H101</f>
        <v>#REF!</v>
      </c>
      <c r="N48" s="3194"/>
      <c r="O48" s="3194"/>
    </row>
    <row r="49" spans="1:35" ht="25.5" customHeight="1">
      <c r="A49" s="177" t="s">
        <v>2202</v>
      </c>
      <c r="B49" s="3239" t="s">
        <v>2203</v>
      </c>
      <c r="C49" s="3239"/>
      <c r="D49" s="178">
        <v>0</v>
      </c>
      <c r="E49" s="23" t="s">
        <v>2204</v>
      </c>
      <c r="F49" s="28" t="s">
        <v>34</v>
      </c>
      <c r="G49" s="3220"/>
      <c r="H49" s="138"/>
      <c r="I49" s="2485"/>
      <c r="J49" s="2971">
        <v>4</v>
      </c>
      <c r="K49" s="3191" t="str">
        <f>IF(项目基本情况!E8="房地产抵押价值","房地产抵押价值","抵押担保权已注销时的房地产抵押价值")</f>
        <v>房地产抵押价值</v>
      </c>
      <c r="L49" s="3191"/>
      <c r="M49" s="3194" t="e">
        <f ca="1">IF(项目基本情况!E8="房地产抵押价值",H107,H109)</f>
        <v>#REF!</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970" t="s">
        <v>2208</v>
      </c>
      <c r="K51" s="3191" t="s">
        <v>2209</v>
      </c>
      <c r="L51" s="3191"/>
      <c r="M51" s="2970" t="s">
        <v>2210</v>
      </c>
      <c r="N51" s="2970" t="s">
        <v>2211</v>
      </c>
      <c r="O51" s="2970" t="s">
        <v>2212</v>
      </c>
    </row>
    <row r="52" spans="1:35" ht="24" customHeight="1">
      <c r="A52" s="184" t="s">
        <v>2213</v>
      </c>
      <c r="B52" s="3239" t="s">
        <v>2214</v>
      </c>
      <c r="C52" s="3239"/>
      <c r="D52" s="183" t="e">
        <f ca="1">ROUND(D45*'数据-取费表'!B41/(1+'数据-取费表'!C42),0)</f>
        <v>#REF!</v>
      </c>
      <c r="E52" s="11" t="s">
        <v>2215</v>
      </c>
      <c r="F52" s="185">
        <f>'数据-取费表'!B41</f>
        <v>5.6000000000000001E-2</v>
      </c>
      <c r="G52" s="2487"/>
      <c r="H52" s="138"/>
      <c r="I52" s="2485"/>
      <c r="J52" s="2971">
        <v>1</v>
      </c>
      <c r="K52" s="3214" t="s">
        <v>2216</v>
      </c>
      <c r="L52" s="3214"/>
      <c r="M52" s="1756">
        <f>D48</f>
        <v>0</v>
      </c>
      <c r="N52" s="2971" t="str">
        <f>E48</f>
        <v>销售额×税（费）率</v>
      </c>
      <c r="O52" s="1757" t="str">
        <f>F48</f>
        <v>免征</v>
      </c>
    </row>
    <row r="53" spans="1:35" ht="12" customHeight="1">
      <c r="A53" s="184" t="s">
        <v>2217</v>
      </c>
      <c r="B53" s="3240" t="s">
        <v>2218</v>
      </c>
      <c r="C53" s="3241"/>
      <c r="D53" s="183" t="e">
        <f ca="1">ROUND(D45*'数据-取费表'!B41/(1+'数据-取费表'!C42),0)</f>
        <v>#REF!</v>
      </c>
      <c r="E53" s="11" t="s">
        <v>2215</v>
      </c>
      <c r="F53" s="185">
        <f>'数据-取费表'!B41</f>
        <v>5.6000000000000001E-2</v>
      </c>
      <c r="G53" s="2487"/>
      <c r="H53" s="138"/>
      <c r="I53" s="2485"/>
      <c r="J53" s="2971">
        <v>2</v>
      </c>
      <c r="K53" s="3214" t="s">
        <v>2219</v>
      </c>
      <c r="L53" s="3214"/>
      <c r="M53" s="1756" t="e">
        <f t="shared" ref="M53:O54" ca="1" si="0">D55</f>
        <v>#REF!</v>
      </c>
      <c r="N53" s="2971" t="str">
        <f t="shared" si="0"/>
        <v>销售额×税（费）率</v>
      </c>
      <c r="O53" s="1757">
        <f t="shared" si="0"/>
        <v>5.0000000000000001E-4</v>
      </c>
    </row>
    <row r="54" spans="1:35" ht="12" customHeight="1">
      <c r="A54" s="184" t="s">
        <v>2220</v>
      </c>
      <c r="B54" s="3240" t="s">
        <v>2221</v>
      </c>
      <c r="C54" s="3241"/>
      <c r="D54" s="183" t="e">
        <f ca="1">C68</f>
        <v>#REF!</v>
      </c>
      <c r="E54" s="30" t="s">
        <v>2222</v>
      </c>
      <c r="F54" s="185">
        <f>'数据-取费表'!B41</f>
        <v>5.6000000000000001E-2</v>
      </c>
      <c r="G54" s="2487"/>
      <c r="H54" s="2488"/>
      <c r="I54" s="2485"/>
      <c r="J54" s="2971">
        <v>3</v>
      </c>
      <c r="K54" s="3214" t="s">
        <v>2223</v>
      </c>
      <c r="L54" s="3214"/>
      <c r="M54" s="1756" t="e">
        <f t="shared" ca="1" si="0"/>
        <v>#REF!</v>
      </c>
      <c r="N54" s="2971" t="str">
        <f t="shared" si="0"/>
        <v>增值额×税（费）率</v>
      </c>
      <c r="O54" s="1758" t="str">
        <f t="shared" si="0"/>
        <v>——</v>
      </c>
    </row>
    <row r="55" spans="1:35" ht="24" customHeight="1">
      <c r="A55" s="3278" t="s">
        <v>2224</v>
      </c>
      <c r="B55" s="3260"/>
      <c r="C55" s="3260"/>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14" t="str">
        <f>IF(H59="非个人房产","——","个人所得税")</f>
        <v>——</v>
      </c>
      <c r="L55" s="3214"/>
      <c r="M55" s="1759" t="str">
        <f>D59</f>
        <v>——</v>
      </c>
      <c r="N55" s="2972" t="str">
        <f>E59</f>
        <v>——</v>
      </c>
      <c r="O55" s="1760" t="str">
        <f>F59</f>
        <v>——</v>
      </c>
    </row>
    <row r="56" spans="1:35" ht="24.75">
      <c r="A56" s="3278" t="s">
        <v>2227</v>
      </c>
      <c r="B56" s="3260"/>
      <c r="C56" s="3260"/>
      <c r="D56" s="186" t="e">
        <f ca="1">IF(H56="个人住宅",D57,D58)</f>
        <v>#REF!</v>
      </c>
      <c r="E56" s="11" t="s">
        <v>2228</v>
      </c>
      <c r="F56" s="185" t="str">
        <f>IF(H56="正常",F58,"免征")</f>
        <v>——</v>
      </c>
      <c r="G56" s="2489" t="s">
        <v>2229</v>
      </c>
      <c r="H56" s="2490" t="s">
        <v>2226</v>
      </c>
      <c r="I56" s="2491"/>
      <c r="J56" s="2971"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IF(AND(J55="",J56=""),4,IF(项目基本情况!K6="上海银行",'结果表-办公已租'!J56+1,'结果表-办公已租'!J55+1))</f>
        <v>4</v>
      </c>
      <c r="K57" s="3214" t="s">
        <v>2231</v>
      </c>
      <c r="L57" s="2492" t="s">
        <v>2232</v>
      </c>
      <c r="M57" s="1761"/>
      <c r="N57" s="1762">
        <f ca="1">SUMIF(M52:M56,"&lt;9e307")</f>
        <v>0</v>
      </c>
      <c r="O57" s="2493"/>
      <c r="P57" s="1755" t="e">
        <f ca="1">N57/M49</f>
        <v>#REF!</v>
      </c>
    </row>
    <row r="58" spans="1:35" ht="24.75">
      <c r="A58" s="184" t="s">
        <v>2213</v>
      </c>
      <c r="B58" s="3245" t="s">
        <v>2233</v>
      </c>
      <c r="C58" s="3258"/>
      <c r="D58" s="186" t="e">
        <f ca="1">IF(H58="转让取得",C81,C97)</f>
        <v>#REF!</v>
      </c>
      <c r="E58" s="11" t="s">
        <v>2228</v>
      </c>
      <c r="F58" s="24" t="s">
        <v>34</v>
      </c>
      <c r="G58" s="2487"/>
      <c r="H58" s="2490" t="s">
        <v>2234</v>
      </c>
      <c r="I58" s="2491"/>
      <c r="J58" s="3214"/>
      <c r="K58" s="3214"/>
      <c r="L58" s="2492" t="s">
        <v>2235</v>
      </c>
      <c r="M58" s="1763"/>
      <c r="N58" s="2494" t="str">
        <f ca="1">NUMBERSTRING(INT(N57*10000),2)&amp;"元整"</f>
        <v>零元整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2971" t="s">
        <v>2232</v>
      </c>
      <c r="M59" s="1764"/>
      <c r="N59" s="1765" t="e">
        <f ca="1">M49-N57</f>
        <v>#REF!</v>
      </c>
      <c r="O59" s="2497"/>
    </row>
    <row r="60" spans="1:35" ht="12" customHeight="1">
      <c r="A60" s="2498"/>
      <c r="B60" s="2420"/>
      <c r="C60" s="2420"/>
      <c r="D60" s="2420"/>
      <c r="E60" s="2168"/>
      <c r="F60" s="2491"/>
      <c r="G60" s="2491"/>
      <c r="H60" s="2499"/>
      <c r="I60" s="138"/>
      <c r="J60" s="3217"/>
      <c r="K60" s="3214"/>
      <c r="L60" s="2492" t="s">
        <v>2235</v>
      </c>
      <c r="M60" s="1763"/>
      <c r="N60" s="2494" t="e">
        <f ca="1">NUMBERSTRING(INT(N59*10000),2)&amp;"元整"</f>
        <v>#REF!</v>
      </c>
      <c r="O60" s="2495"/>
    </row>
    <row r="61" spans="1:35" ht="13.5" thickBot="1">
      <c r="A61" s="3277" t="s">
        <v>2239</v>
      </c>
      <c r="B61" s="3277"/>
      <c r="C61" s="3277"/>
      <c r="D61" s="3277"/>
      <c r="E61" s="3277"/>
      <c r="F61" s="2491"/>
      <c r="G61" s="2491"/>
      <c r="H61" s="2499"/>
      <c r="I61" s="138"/>
      <c r="J61" s="2971">
        <f>J59+1</f>
        <v>6</v>
      </c>
      <c r="K61" s="3214" t="s">
        <v>2240</v>
      </c>
      <c r="L61" s="3214"/>
      <c r="M61" s="1766"/>
      <c r="N61" s="1767" t="e">
        <f ca="1">ROUND(N59*10000/'数据-汇总表'!E3,0)</f>
        <v>#REF!</v>
      </c>
      <c r="O61" s="2500"/>
    </row>
    <row r="62" spans="1:35" ht="12.75">
      <c r="A62" s="3234" t="s">
        <v>2241</v>
      </c>
      <c r="B62" s="3235"/>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19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19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19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19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19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19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19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f>C4</f>
        <v>0</v>
      </c>
      <c r="D101" s="738">
        <f>D4</f>
        <v>0</v>
      </c>
      <c r="E101" s="3195" t="s">
        <v>2300</v>
      </c>
      <c r="F101" s="3196"/>
      <c r="G101" s="2522" t="s">
        <v>2301</v>
      </c>
      <c r="H101" s="1049" t="e">
        <f ca="1">H118</f>
        <v>#REF!</v>
      </c>
      <c r="I101" s="138"/>
    </row>
    <row r="102" spans="1:35" ht="18.75" customHeight="1">
      <c r="A102" s="3225" t="s">
        <v>2302</v>
      </c>
      <c r="B102" s="2522" t="s">
        <v>2301</v>
      </c>
      <c r="C102" s="737" t="e">
        <f ca="1">C19</f>
        <v>#REF!</v>
      </c>
      <c r="D102" s="738" t="e">
        <f ca="1">D19</f>
        <v>#REF!</v>
      </c>
      <c r="E102" s="3195"/>
      <c r="F102" s="3196"/>
      <c r="G102" s="2522" t="s">
        <v>2303</v>
      </c>
      <c r="H102" s="372" t="e">
        <f ca="1">I118</f>
        <v>#REF!</v>
      </c>
      <c r="I102" s="138"/>
    </row>
    <row r="103" spans="1:35" ht="42.75" customHeight="1">
      <c r="A103" s="3225"/>
      <c r="B103" s="2522" t="s">
        <v>2303</v>
      </c>
      <c r="C103" s="739" t="e">
        <f ca="1">C20</f>
        <v>#REF!</v>
      </c>
      <c r="D103" s="740" t="e">
        <f ca="1">D20</f>
        <v>#REF!</v>
      </c>
      <c r="E103" s="3189" t="s">
        <v>2304</v>
      </c>
      <c r="F103" s="3190"/>
      <c r="G103" s="2523" t="s">
        <v>2305</v>
      </c>
      <c r="H103" s="1049">
        <f>IF(D36="正常操作",H104+H105+H106,H105+H106)</f>
        <v>0</v>
      </c>
      <c r="I103" s="138"/>
    </row>
    <row r="104" spans="1:35" ht="18.75" customHeight="1">
      <c r="A104" s="3225"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t="e">
        <f ca="1">IF(E107="——","——",H101-H103)</f>
        <v>#REF!</v>
      </c>
      <c r="I107" s="138"/>
    </row>
    <row r="108" spans="1:35" ht="18.75" customHeight="1">
      <c r="A108" s="138"/>
      <c r="B108" s="138"/>
      <c r="C108" s="138"/>
      <c r="D108" s="138"/>
      <c r="E108" s="3226"/>
      <c r="F108" s="3196"/>
      <c r="G108" s="2522" t="s">
        <v>2303</v>
      </c>
      <c r="H108" s="372" t="e">
        <f ca="1">ROUND(H107*10000/'数据-汇总表'!E3,0)</f>
        <v>#REF!</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62" t="s">
        <v>2321</v>
      </c>
      <c r="B119" s="3162"/>
      <c r="C119" s="3162"/>
      <c r="D119" s="3207" t="e">
        <f ca="1">NUMBERSTRING(INT(D118*10000),2)&amp;"元整"</f>
        <v>#REF!</v>
      </c>
      <c r="E119" s="3208"/>
      <c r="F119" s="3207" t="e">
        <f ca="1">NUMBERSTRING(INT(F118*10000),2)&amp;"元整"</f>
        <v>#REF!</v>
      </c>
      <c r="G119" s="3208"/>
      <c r="H119" s="3207" t="e">
        <f ca="1">NUMBERSTRING(INT(H118*10000),2)&amp;"元整"</f>
        <v>#REF!</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t="e">
        <f ca="1">H107</f>
        <v>#REF!</v>
      </c>
      <c r="E122" s="3203"/>
      <c r="F122" s="3203"/>
      <c r="G122" s="3203"/>
      <c r="H122" s="3203"/>
      <c r="I122" s="3204"/>
    </row>
    <row r="123" spans="1:11" ht="18.75" customHeight="1">
      <c r="A123" s="3162" t="s">
        <v>2321</v>
      </c>
      <c r="B123" s="3162"/>
      <c r="C123" s="3162"/>
      <c r="D123" s="3207" t="e">
        <f ca="1">NUMBERSTRING(INT(D122*10000),2)&amp;"元整"</f>
        <v>#REF!</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3427</v>
      </c>
      <c r="F5" s="3315"/>
      <c r="G5" s="3356" t="s">
        <v>3377</v>
      </c>
      <c r="H5" s="3317"/>
      <c r="I5" s="3356" t="s">
        <v>3378</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0" t="s">
        <v>2550</v>
      </c>
      <c r="Q7" s="3341"/>
      <c r="R7" s="771" t="s">
        <v>17</v>
      </c>
      <c r="S7" s="772">
        <f t="shared" ref="S7:S15" si="0">F7</f>
        <v>100</v>
      </c>
      <c r="T7" s="771" t="s">
        <v>17</v>
      </c>
      <c r="U7" s="772">
        <f t="shared" ref="U7:U15" si="1">H7</f>
        <v>100</v>
      </c>
      <c r="V7" s="771" t="s">
        <v>17</v>
      </c>
      <c r="W7" s="772">
        <f t="shared" ref="W7:W15" si="2">J7</f>
        <v>100</v>
      </c>
      <c r="X7" s="773"/>
      <c r="Y7" s="3308" t="s">
        <v>2550</v>
      </c>
      <c r="Z7" s="3309"/>
      <c r="AA7" s="774">
        <f>D7/F7</f>
        <v>1</v>
      </c>
      <c r="AB7" s="774">
        <f>D7/H7</f>
        <v>1</v>
      </c>
      <c r="AC7" s="2675">
        <f>D7/J7</f>
        <v>1</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2" t="s">
        <v>2561</v>
      </c>
      <c r="Q15" s="2978" t="str">
        <f t="shared" si="6"/>
        <v>办公集聚程度</v>
      </c>
      <c r="R15" s="775" t="s">
        <v>17</v>
      </c>
      <c r="S15" s="776">
        <f t="shared" si="0"/>
        <v>100</v>
      </c>
      <c r="T15" s="775" t="s">
        <v>17</v>
      </c>
      <c r="U15" s="776">
        <f t="shared" si="1"/>
        <v>100</v>
      </c>
      <c r="V15" s="775" t="s">
        <v>17</v>
      </c>
      <c r="W15" s="776">
        <f t="shared" si="2"/>
        <v>100</v>
      </c>
      <c r="X15" s="2982"/>
      <c r="Y15" s="3344"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43"/>
      <c r="Q25" s="2978" t="str">
        <f>B25</f>
        <v>毗邻道路的类型与等级</v>
      </c>
      <c r="R25" s="775" t="s">
        <v>17</v>
      </c>
      <c r="S25" s="776">
        <f>F25</f>
        <v>100</v>
      </c>
      <c r="T25" s="775" t="s">
        <v>17</v>
      </c>
      <c r="U25" s="776">
        <f>H25</f>
        <v>100</v>
      </c>
      <c r="V25" s="775" t="s">
        <v>17</v>
      </c>
      <c r="W25" s="776">
        <f>J25</f>
        <v>94</v>
      </c>
      <c r="X25" s="2982"/>
      <c r="Y25" s="3345"/>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43"/>
      <c r="Q27" s="2978" t="str">
        <f t="shared" ref="Q27:Q47" si="11">B27</f>
        <v>楼层</v>
      </c>
      <c r="R27" s="775" t="s">
        <v>17</v>
      </c>
      <c r="S27" s="776">
        <f>F27</f>
        <v>95</v>
      </c>
      <c r="T27" s="775" t="s">
        <v>17</v>
      </c>
      <c r="U27" s="776">
        <f>H27</f>
        <v>90</v>
      </c>
      <c r="V27" s="775" t="s">
        <v>17</v>
      </c>
      <c r="W27" s="776">
        <f>J27</f>
        <v>100</v>
      </c>
      <c r="X27" s="2982"/>
      <c r="Y27" s="3345"/>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96</v>
      </c>
      <c r="G34" s="3021">
        <v>450</v>
      </c>
      <c r="H34" s="136">
        <f>LOOKUP(G34,104:104,105:105)-LOOKUP(C34,104:104,105:105)+100</f>
        <v>104</v>
      </c>
      <c r="I34" s="430">
        <v>350</v>
      </c>
      <c r="J34" s="136">
        <f>LOOKUP(I34,104:104,105:105)-LOOKUP(C34,104:104,105:105)+100</f>
        <v>102</v>
      </c>
      <c r="K34" s="614"/>
      <c r="L34" s="1142"/>
      <c r="M34" s="1145"/>
      <c r="N34" s="1145"/>
      <c r="O34" s="1145"/>
      <c r="P34" s="3347"/>
      <c r="Q34" s="777" t="str">
        <f t="shared" si="11"/>
        <v>项目建筑规模</v>
      </c>
      <c r="R34" s="778" t="s">
        <v>17</v>
      </c>
      <c r="S34" s="779">
        <f t="shared" si="12"/>
        <v>96</v>
      </c>
      <c r="T34" s="778" t="s">
        <v>17</v>
      </c>
      <c r="U34" s="779">
        <f t="shared" si="13"/>
        <v>104</v>
      </c>
      <c r="V34" s="778" t="s">
        <v>17</v>
      </c>
      <c r="W34" s="779">
        <f t="shared" si="14"/>
        <v>102</v>
      </c>
      <c r="X34" s="780"/>
      <c r="Y34" s="3349"/>
      <c r="Z34" s="781" t="str">
        <f t="shared" si="15"/>
        <v>项目建筑规模</v>
      </c>
      <c r="AA34" s="2979">
        <f t="shared" si="3"/>
        <v>1.0416666666666667</v>
      </c>
      <c r="AB34" s="2979">
        <f t="shared" si="4"/>
        <v>0.96153846153846156</v>
      </c>
      <c r="AC34" s="2678">
        <f t="shared" si="5"/>
        <v>0.98039215686274506</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0.73</v>
      </c>
      <c r="F37" s="462">
        <f>LOOKUP(E37,111:111,112:112)-LOOKUP(C37,111:111,112:112)+100</f>
        <v>98</v>
      </c>
      <c r="G37" s="3022">
        <f>ROUND(1-(2018-2004)/60,2)</f>
        <v>0.77</v>
      </c>
      <c r="H37" s="462">
        <f>LOOKUP(G37,111:111,112:112)-LOOKUP(C37,111:111,112:112)+100</f>
        <v>98</v>
      </c>
      <c r="I37" s="475">
        <v>0.82</v>
      </c>
      <c r="J37" s="436">
        <f>LOOKUP(I37,111:111,112:112)-LOOKUP(C37,111:111,112:112)+100</f>
        <v>100</v>
      </c>
      <c r="K37" s="613">
        <v>2</v>
      </c>
      <c r="L37" s="1144"/>
      <c r="M37" s="1135"/>
      <c r="N37" s="1135"/>
      <c r="O37" s="1135"/>
      <c r="P37" s="3347"/>
      <c r="Q37" s="2978" t="str">
        <f t="shared" si="11"/>
        <v>成新度</v>
      </c>
      <c r="R37" s="775" t="s">
        <v>17</v>
      </c>
      <c r="S37" s="776">
        <f t="shared" si="12"/>
        <v>98</v>
      </c>
      <c r="T37" s="775" t="s">
        <v>17</v>
      </c>
      <c r="U37" s="776">
        <f t="shared" si="13"/>
        <v>98</v>
      </c>
      <c r="V37" s="775" t="s">
        <v>17</v>
      </c>
      <c r="W37" s="776">
        <f t="shared" si="14"/>
        <v>100</v>
      </c>
      <c r="X37" s="2982"/>
      <c r="Y37" s="3349"/>
      <c r="Z37" s="2981" t="str">
        <f t="shared" si="15"/>
        <v>成新度</v>
      </c>
      <c r="AA37" s="2979">
        <f t="shared" si="3"/>
        <v>1.0204081632653061</v>
      </c>
      <c r="AB37" s="2979">
        <f t="shared" si="4"/>
        <v>1.0204081632653061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22" t="str">
        <f>A48</f>
        <v>成交单价（元/平方米）</v>
      </c>
      <c r="Q48" s="3351"/>
      <c r="R48" s="3352">
        <f>E48</f>
        <v>7</v>
      </c>
      <c r="S48" s="3352"/>
      <c r="T48" s="3352">
        <f>G48</f>
        <v>7</v>
      </c>
      <c r="U48" s="3352"/>
      <c r="V48" s="3352">
        <f>I48</f>
        <v>8</v>
      </c>
      <c r="W48" s="3352"/>
      <c r="X48" s="447"/>
      <c r="Y48" s="782"/>
      <c r="Z48" s="447"/>
      <c r="AA48" s="447"/>
      <c r="AB48" s="447"/>
      <c r="AC48" s="631"/>
    </row>
    <row r="49" spans="1:29" ht="15.75" thickBot="1">
      <c r="A49" s="487" t="s">
        <v>2579</v>
      </c>
      <c r="B49" s="488"/>
      <c r="C49" s="1417">
        <f>R50</f>
        <v>8</v>
      </c>
      <c r="D49" s="1418"/>
      <c r="E49" s="1419">
        <f>R49</f>
        <v>8</v>
      </c>
      <c r="F49" s="1419"/>
      <c r="G49" s="1417">
        <f>T49</f>
        <v>8</v>
      </c>
      <c r="H49" s="1418"/>
      <c r="I49" s="1419">
        <f>V49</f>
        <v>9</v>
      </c>
      <c r="J49" s="490"/>
      <c r="K49" s="785"/>
      <c r="L49" s="1147"/>
      <c r="M49" s="1135"/>
      <c r="N49" s="1135"/>
      <c r="O49" s="1135"/>
      <c r="P49" s="3322" t="str">
        <f>A49</f>
        <v>比较价值（元/平方米）</v>
      </c>
      <c r="Q49" s="3351"/>
      <c r="R49" s="3352">
        <f>IF(F1="售价",ROUND(PRODUCT(R48,AA7:AA47),0),ROUND(PRODUCT(R48,AA7:AA47),1))</f>
        <v>8</v>
      </c>
      <c r="S49" s="3352"/>
      <c r="T49" s="3352">
        <f>IF(F1="售价",ROUND(PRODUCT(T48,AB7:AB47),0),ROUND(PRODUCT(T48,AB7:AB47),1))</f>
        <v>8</v>
      </c>
      <c r="U49" s="3352"/>
      <c r="V49" s="3352">
        <f>IF(F1="售价",ROUND(PRODUCT(V48,AC7:AC47),0),ROUND(PRODUCT(V48,AC7:AC47),1))</f>
        <v>9</v>
      </c>
      <c r="W49" s="3352"/>
      <c r="X49" s="447"/>
      <c r="Y49" s="447"/>
      <c r="Z49" s="447"/>
      <c r="AA49" s="447"/>
      <c r="AB49" s="447"/>
      <c r="AC49" s="631"/>
    </row>
    <row r="50" spans="1:29" ht="15.75" thickBot="1">
      <c r="A50" s="493" t="s">
        <v>2580</v>
      </c>
      <c r="B50" s="494"/>
      <c r="C50" s="1421">
        <f>R50</f>
        <v>8</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8</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2582</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3029"/>
      <c r="Y4" s="3310" t="s">
        <v>2542</v>
      </c>
      <c r="Z4" s="3311"/>
      <c r="AA4" s="3305" t="s">
        <v>2538</v>
      </c>
      <c r="AB4" s="3305" t="s">
        <v>2539</v>
      </c>
      <c r="AC4" s="3323" t="s">
        <v>2540</v>
      </c>
    </row>
    <row r="5" spans="1:29" ht="15">
      <c r="A5" s="405"/>
      <c r="B5" s="406"/>
      <c r="C5" s="3356" t="s">
        <v>3376</v>
      </c>
      <c r="D5" s="3317"/>
      <c r="E5" s="3357" t="s">
        <v>3470</v>
      </c>
      <c r="F5" s="3315"/>
      <c r="G5" s="3356" t="s">
        <v>3471</v>
      </c>
      <c r="H5" s="3317"/>
      <c r="I5" s="3356" t="s">
        <v>3472</v>
      </c>
      <c r="J5" s="3317"/>
      <c r="K5" s="611"/>
      <c r="L5" s="1134"/>
      <c r="M5" s="1135"/>
      <c r="N5" s="1135"/>
      <c r="O5" s="1135"/>
      <c r="P5" s="3332"/>
      <c r="Q5" s="3333"/>
      <c r="R5" s="3312"/>
      <c r="S5" s="3313"/>
      <c r="T5" s="3312"/>
      <c r="U5" s="3313"/>
      <c r="V5" s="3339"/>
      <c r="W5" s="3339"/>
      <c r="X5" s="3030"/>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3030"/>
      <c r="Y6" s="3336"/>
      <c r="Z6" s="3337"/>
      <c r="AA6" s="3307"/>
      <c r="AB6" s="3307"/>
      <c r="AC6" s="3325"/>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3023" t="str">
        <f t="shared" ref="Q9:Q15" si="6">B9</f>
        <v>用途</v>
      </c>
      <c r="R9" s="771" t="s">
        <v>17</v>
      </c>
      <c r="S9" s="772">
        <f t="shared" si="0"/>
        <v>100</v>
      </c>
      <c r="T9" s="771" t="s">
        <v>17</v>
      </c>
      <c r="U9" s="772">
        <f t="shared" si="1"/>
        <v>100</v>
      </c>
      <c r="V9" s="771" t="s">
        <v>17</v>
      </c>
      <c r="W9" s="772">
        <f t="shared" si="2"/>
        <v>100</v>
      </c>
      <c r="X9" s="773"/>
      <c r="Y9" s="3162" t="s">
        <v>2557</v>
      </c>
      <c r="Z9" s="3024" t="str">
        <f t="shared" ref="Z9:Z15" si="7">Q9</f>
        <v>用途</v>
      </c>
      <c r="AA9" s="774">
        <f t="shared" si="3"/>
        <v>1</v>
      </c>
      <c r="AB9" s="774">
        <f t="shared" si="4"/>
        <v>1</v>
      </c>
      <c r="AC9" s="2675">
        <f t="shared" si="5"/>
        <v>1</v>
      </c>
    </row>
    <row r="10" spans="1:29" s="428" customFormat="1" ht="27">
      <c r="A10" s="422"/>
      <c r="B10" s="3025"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3023" t="str">
        <f t="shared" si="6"/>
        <v>土地使用年限（年）</v>
      </c>
      <c r="R10" s="771" t="s">
        <v>17</v>
      </c>
      <c r="S10" s="772">
        <f t="shared" si="0"/>
        <v>100</v>
      </c>
      <c r="T10" s="771" t="s">
        <v>17</v>
      </c>
      <c r="U10" s="772">
        <f t="shared" si="1"/>
        <v>100</v>
      </c>
      <c r="V10" s="771" t="s">
        <v>17</v>
      </c>
      <c r="W10" s="772">
        <f t="shared" si="2"/>
        <v>100</v>
      </c>
      <c r="X10" s="773"/>
      <c r="Y10" s="3162"/>
      <c r="Z10" s="3024" t="str">
        <f t="shared" si="7"/>
        <v>土地使用年限（年）</v>
      </c>
      <c r="AA10" s="774">
        <f t="shared" si="3"/>
        <v>1</v>
      </c>
      <c r="AB10" s="774">
        <f t="shared" si="4"/>
        <v>1</v>
      </c>
      <c r="AC10" s="2675">
        <f t="shared" si="5"/>
        <v>1</v>
      </c>
    </row>
    <row r="11" spans="1:29" ht="15">
      <c r="A11" s="429"/>
      <c r="B11" s="3025"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3023" t="str">
        <f t="shared" si="6"/>
        <v>容积率</v>
      </c>
      <c r="R11" s="771" t="s">
        <v>17</v>
      </c>
      <c r="S11" s="772">
        <f t="shared" si="0"/>
        <v>100</v>
      </c>
      <c r="T11" s="771" t="s">
        <v>17</v>
      </c>
      <c r="U11" s="772">
        <f t="shared" si="1"/>
        <v>100</v>
      </c>
      <c r="V11" s="771" t="s">
        <v>17</v>
      </c>
      <c r="W11" s="772">
        <f t="shared" si="2"/>
        <v>100</v>
      </c>
      <c r="X11" s="773"/>
      <c r="Y11" s="3162"/>
      <c r="Z11" s="3024"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3023">
        <f t="shared" si="6"/>
        <v>0</v>
      </c>
      <c r="R12" s="771" t="s">
        <v>17</v>
      </c>
      <c r="S12" s="772">
        <f t="shared" si="0"/>
        <v>100</v>
      </c>
      <c r="T12" s="771" t="s">
        <v>17</v>
      </c>
      <c r="U12" s="772">
        <f t="shared" si="1"/>
        <v>100</v>
      </c>
      <c r="V12" s="771" t="s">
        <v>17</v>
      </c>
      <c r="W12" s="772">
        <f t="shared" si="2"/>
        <v>100</v>
      </c>
      <c r="X12" s="773"/>
      <c r="Y12" s="3162"/>
      <c r="Z12" s="3024">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3023">
        <f t="shared" si="6"/>
        <v>0</v>
      </c>
      <c r="R13" s="771" t="s">
        <v>17</v>
      </c>
      <c r="S13" s="772">
        <f t="shared" si="0"/>
        <v>100</v>
      </c>
      <c r="T13" s="771" t="s">
        <v>17</v>
      </c>
      <c r="U13" s="772">
        <f t="shared" si="1"/>
        <v>100</v>
      </c>
      <c r="V13" s="771" t="s">
        <v>17</v>
      </c>
      <c r="W13" s="772">
        <f t="shared" si="2"/>
        <v>100</v>
      </c>
      <c r="X13" s="773"/>
      <c r="Y13" s="3162"/>
      <c r="Z13" s="3024">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3023">
        <f t="shared" si="6"/>
        <v>0</v>
      </c>
      <c r="R14" s="771" t="s">
        <v>17</v>
      </c>
      <c r="S14" s="772">
        <f t="shared" si="0"/>
        <v>100</v>
      </c>
      <c r="T14" s="771" t="s">
        <v>17</v>
      </c>
      <c r="U14" s="772">
        <f t="shared" si="1"/>
        <v>100</v>
      </c>
      <c r="V14" s="771" t="s">
        <v>17</v>
      </c>
      <c r="W14" s="772">
        <f t="shared" si="2"/>
        <v>100</v>
      </c>
      <c r="X14" s="773"/>
      <c r="Y14" s="3162"/>
      <c r="Z14" s="3024">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2" t="s">
        <v>2561</v>
      </c>
      <c r="Q15" s="3026" t="str">
        <f t="shared" si="6"/>
        <v>办公集聚程度</v>
      </c>
      <c r="R15" s="775" t="s">
        <v>17</v>
      </c>
      <c r="S15" s="776">
        <f t="shared" si="0"/>
        <v>100</v>
      </c>
      <c r="T15" s="775" t="s">
        <v>17</v>
      </c>
      <c r="U15" s="776">
        <f t="shared" si="1"/>
        <v>102</v>
      </c>
      <c r="V15" s="775" t="s">
        <v>17</v>
      </c>
      <c r="W15" s="776">
        <f t="shared" si="2"/>
        <v>102</v>
      </c>
      <c r="X15" s="3030"/>
      <c r="Y15" s="3344" t="s">
        <v>2561</v>
      </c>
      <c r="Z15" s="3028" t="str">
        <f t="shared" si="7"/>
        <v>办公集聚程度</v>
      </c>
      <c r="AA15" s="3027">
        <f t="shared" si="3"/>
        <v>1</v>
      </c>
      <c r="AB15" s="3027">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43"/>
      <c r="Q16" s="3026"/>
      <c r="R16" s="775"/>
      <c r="S16" s="776"/>
      <c r="T16" s="775"/>
      <c r="U16" s="776"/>
      <c r="V16" s="775"/>
      <c r="W16" s="776"/>
      <c r="X16" s="3030"/>
      <c r="Y16" s="3345"/>
      <c r="Z16" s="3028"/>
      <c r="AA16" s="3027">
        <v>1</v>
      </c>
      <c r="AB16" s="3027">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3026" t="str">
        <f>B17</f>
        <v>交通便捷度</v>
      </c>
      <c r="R17" s="775" t="s">
        <v>17</v>
      </c>
      <c r="S17" s="776">
        <f>F17</f>
        <v>100</v>
      </c>
      <c r="T17" s="775" t="s">
        <v>17</v>
      </c>
      <c r="U17" s="776">
        <f>H17</f>
        <v>100</v>
      </c>
      <c r="V17" s="775" t="s">
        <v>17</v>
      </c>
      <c r="W17" s="776">
        <f>J17</f>
        <v>100</v>
      </c>
      <c r="X17" s="3030"/>
      <c r="Y17" s="3345"/>
      <c r="Z17" s="3028" t="str">
        <f>Q17</f>
        <v>交通便捷度</v>
      </c>
      <c r="AA17" s="3027">
        <f t="shared" si="3"/>
        <v>1</v>
      </c>
      <c r="AB17" s="3027">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3026"/>
      <c r="R18" s="775"/>
      <c r="S18" s="776"/>
      <c r="T18" s="775"/>
      <c r="U18" s="776"/>
      <c r="V18" s="775"/>
      <c r="W18" s="776"/>
      <c r="X18" s="3030"/>
      <c r="Y18" s="3345"/>
      <c r="Z18" s="3028"/>
      <c r="AA18" s="3027">
        <v>1</v>
      </c>
      <c r="AB18" s="3027">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3026" t="str">
        <f>B19</f>
        <v>公共配套设施</v>
      </c>
      <c r="R19" s="775" t="s">
        <v>17</v>
      </c>
      <c r="S19" s="776">
        <f>F19</f>
        <v>100</v>
      </c>
      <c r="T19" s="775" t="s">
        <v>17</v>
      </c>
      <c r="U19" s="776">
        <f>H19</f>
        <v>100</v>
      </c>
      <c r="V19" s="775" t="s">
        <v>17</v>
      </c>
      <c r="W19" s="776">
        <f>J19</f>
        <v>100</v>
      </c>
      <c r="X19" s="3030"/>
      <c r="Y19" s="3345"/>
      <c r="Z19" s="3028" t="str">
        <f>Q19</f>
        <v>公共配套设施</v>
      </c>
      <c r="AA19" s="3027">
        <f t="shared" si="3"/>
        <v>1</v>
      </c>
      <c r="AB19" s="3027">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3026"/>
      <c r="R20" s="775"/>
      <c r="S20" s="776"/>
      <c r="T20" s="775"/>
      <c r="U20" s="776"/>
      <c r="V20" s="775"/>
      <c r="W20" s="776"/>
      <c r="X20" s="3030"/>
      <c r="Y20" s="3345"/>
      <c r="Z20" s="3028"/>
      <c r="AA20" s="3027">
        <v>1</v>
      </c>
      <c r="AB20" s="3027">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3026" t="str">
        <f>B21</f>
        <v>基础设施水平</v>
      </c>
      <c r="R21" s="775" t="s">
        <v>17</v>
      </c>
      <c r="S21" s="776">
        <f>F21</f>
        <v>100</v>
      </c>
      <c r="T21" s="775" t="s">
        <v>17</v>
      </c>
      <c r="U21" s="776">
        <f>H21</f>
        <v>100</v>
      </c>
      <c r="V21" s="775" t="s">
        <v>17</v>
      </c>
      <c r="W21" s="776">
        <f>J21</f>
        <v>100</v>
      </c>
      <c r="X21" s="3030"/>
      <c r="Y21" s="3345"/>
      <c r="Z21" s="3028" t="str">
        <f>Q21</f>
        <v>基础设施水平</v>
      </c>
      <c r="AA21" s="3027">
        <f t="shared" ref="AA21" si="8">D21/F21</f>
        <v>1</v>
      </c>
      <c r="AB21" s="3027">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3026"/>
      <c r="R22" s="775"/>
      <c r="S22" s="776"/>
      <c r="T22" s="775"/>
      <c r="U22" s="776"/>
      <c r="V22" s="775"/>
      <c r="W22" s="776"/>
      <c r="X22" s="3030"/>
      <c r="Y22" s="3345"/>
      <c r="Z22" s="3028"/>
      <c r="AA22" s="3027">
        <v>1</v>
      </c>
      <c r="AB22" s="3027">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3026" t="str">
        <f>B23</f>
        <v>环境质量</v>
      </c>
      <c r="R23" s="775" t="s">
        <v>17</v>
      </c>
      <c r="S23" s="776">
        <f>F23</f>
        <v>100</v>
      </c>
      <c r="T23" s="775" t="s">
        <v>17</v>
      </c>
      <c r="U23" s="776">
        <f>H23</f>
        <v>100</v>
      </c>
      <c r="V23" s="775" t="s">
        <v>17</v>
      </c>
      <c r="W23" s="776">
        <f>J23</f>
        <v>100</v>
      </c>
      <c r="X23" s="3030"/>
      <c r="Y23" s="3345"/>
      <c r="Z23" s="3028" t="str">
        <f>Q23</f>
        <v>环境质量</v>
      </c>
      <c r="AA23" s="3027">
        <f t="shared" si="3"/>
        <v>1</v>
      </c>
      <c r="AB23" s="3027">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3026"/>
      <c r="R24" s="775"/>
      <c r="S24" s="776"/>
      <c r="T24" s="775"/>
      <c r="U24" s="776"/>
      <c r="V24" s="775"/>
      <c r="W24" s="776"/>
      <c r="X24" s="3030"/>
      <c r="Y24" s="3345"/>
      <c r="Z24" s="3028"/>
      <c r="AA24" s="3027">
        <v>1</v>
      </c>
      <c r="AB24" s="3027">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43"/>
      <c r="Q25" s="3026" t="str">
        <f>B25</f>
        <v>毗邻道路的类型与等级</v>
      </c>
      <c r="R25" s="775" t="s">
        <v>17</v>
      </c>
      <c r="S25" s="776">
        <f>F25</f>
        <v>94</v>
      </c>
      <c r="T25" s="775" t="s">
        <v>17</v>
      </c>
      <c r="U25" s="776">
        <f>H25</f>
        <v>100</v>
      </c>
      <c r="V25" s="775" t="s">
        <v>17</v>
      </c>
      <c r="W25" s="776">
        <f>J25</f>
        <v>100</v>
      </c>
      <c r="X25" s="3030"/>
      <c r="Y25" s="3345"/>
      <c r="Z25" s="3028" t="str">
        <f>Q25</f>
        <v>毗邻道路的类型与等级</v>
      </c>
      <c r="AA25" s="3027">
        <f t="shared" si="3"/>
        <v>1.0638297872340425</v>
      </c>
      <c r="AB25" s="3027">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43"/>
      <c r="Q26" s="3026"/>
      <c r="R26" s="775"/>
      <c r="S26" s="776"/>
      <c r="T26" s="775"/>
      <c r="U26" s="776"/>
      <c r="V26" s="775"/>
      <c r="W26" s="776"/>
      <c r="X26" s="3030"/>
      <c r="Y26" s="3345"/>
      <c r="Z26" s="3028"/>
      <c r="AA26" s="3027">
        <v>1</v>
      </c>
      <c r="AB26" s="3027">
        <v>1</v>
      </c>
      <c r="AC26" s="2678">
        <v>1</v>
      </c>
    </row>
    <row r="27" spans="1:29" ht="15">
      <c r="A27" s="429"/>
      <c r="B27" s="633" t="s">
        <v>2660</v>
      </c>
      <c r="C27" s="635" t="s">
        <v>3386</v>
      </c>
      <c r="D27" s="436">
        <v>100</v>
      </c>
      <c r="E27" s="617" t="s">
        <v>3388</v>
      </c>
      <c r="F27" s="436">
        <f>SUMIF(89:89,E27,90:90)-SUMIF(89:89,C27,90:90)+100</f>
        <v>95</v>
      </c>
      <c r="G27" s="635" t="s">
        <v>3388</v>
      </c>
      <c r="H27" s="436">
        <f>SUMIF(89:89,G27,90:90)-SUMIF(89:89,C27,90:90)+100</f>
        <v>95</v>
      </c>
      <c r="I27" s="617" t="s">
        <v>3388</v>
      </c>
      <c r="J27" s="436">
        <f>SUMIF(89:89,I27,90:90)-SUMIF(89:89,C27,90:90)+100</f>
        <v>95</v>
      </c>
      <c r="K27" s="613">
        <v>5</v>
      </c>
      <c r="L27" s="1144"/>
      <c r="M27" s="1135"/>
      <c r="N27" s="1135"/>
      <c r="O27" s="1135"/>
      <c r="P27" s="3343"/>
      <c r="Q27" s="3026" t="str">
        <f t="shared" ref="Q27:Q47" si="11">B27</f>
        <v>楼层</v>
      </c>
      <c r="R27" s="775" t="s">
        <v>17</v>
      </c>
      <c r="S27" s="776">
        <f>F27</f>
        <v>95</v>
      </c>
      <c r="T27" s="775" t="s">
        <v>17</v>
      </c>
      <c r="U27" s="776">
        <f>H27</f>
        <v>95</v>
      </c>
      <c r="V27" s="775" t="s">
        <v>17</v>
      </c>
      <c r="W27" s="776">
        <f>J27</f>
        <v>95</v>
      </c>
      <c r="X27" s="3030"/>
      <c r="Y27" s="3345"/>
      <c r="Z27" s="3028" t="str">
        <f>Q27</f>
        <v>楼层</v>
      </c>
      <c r="AA27" s="3027">
        <f t="shared" si="3"/>
        <v>1.0526315789473684</v>
      </c>
      <c r="AB27" s="3027">
        <f t="shared" si="4"/>
        <v>1.0526315789473684</v>
      </c>
      <c r="AC27" s="2678">
        <f t="shared" si="5"/>
        <v>1.0526315789473684</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3023" t="str">
        <f t="shared" si="11"/>
        <v>朝向</v>
      </c>
      <c r="R28" s="771" t="s">
        <v>17</v>
      </c>
      <c r="S28" s="772">
        <f>F28</f>
        <v>100</v>
      </c>
      <c r="T28" s="771" t="s">
        <v>17</v>
      </c>
      <c r="U28" s="772">
        <f>H28</f>
        <v>100</v>
      </c>
      <c r="V28" s="771" t="s">
        <v>17</v>
      </c>
      <c r="W28" s="772">
        <f>J28</f>
        <v>100</v>
      </c>
      <c r="X28" s="773"/>
      <c r="Y28" s="3345"/>
      <c r="Z28" s="3024" t="str">
        <f>Q28</f>
        <v>朝向</v>
      </c>
      <c r="AA28" s="3027">
        <f>D28/F28</f>
        <v>1</v>
      </c>
      <c r="AB28" s="3027">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3026">
        <f t="shared" si="11"/>
        <v>111</v>
      </c>
      <c r="R29" s="775" t="s">
        <v>17</v>
      </c>
      <c r="S29" s="776">
        <f t="shared" ref="S29:S47" si="12">F29</f>
        <v>100</v>
      </c>
      <c r="T29" s="775" t="s">
        <v>17</v>
      </c>
      <c r="U29" s="776">
        <f t="shared" ref="U29:U47" si="13">H29</f>
        <v>100</v>
      </c>
      <c r="V29" s="775" t="s">
        <v>17</v>
      </c>
      <c r="W29" s="776">
        <f t="shared" ref="W29:W47" si="14">J29</f>
        <v>100</v>
      </c>
      <c r="X29" s="3030"/>
      <c r="Y29" s="3345"/>
      <c r="Z29" s="3028">
        <f t="shared" ref="Z29:Z47" si="15">Q29</f>
        <v>111</v>
      </c>
      <c r="AA29" s="3027">
        <f t="shared" si="3"/>
        <v>1</v>
      </c>
      <c r="AB29" s="3027">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3026">
        <f t="shared" si="11"/>
        <v>111</v>
      </c>
      <c r="R30" s="775" t="s">
        <v>17</v>
      </c>
      <c r="S30" s="776">
        <f t="shared" si="12"/>
        <v>100</v>
      </c>
      <c r="T30" s="775" t="s">
        <v>17</v>
      </c>
      <c r="U30" s="776">
        <f t="shared" si="13"/>
        <v>100</v>
      </c>
      <c r="V30" s="775" t="s">
        <v>17</v>
      </c>
      <c r="W30" s="776">
        <f t="shared" si="14"/>
        <v>100</v>
      </c>
      <c r="X30" s="3030"/>
      <c r="Y30" s="3345"/>
      <c r="Z30" s="3028">
        <f t="shared" si="15"/>
        <v>111</v>
      </c>
      <c r="AA30" s="3027">
        <f t="shared" si="3"/>
        <v>1</v>
      </c>
      <c r="AB30" s="3027">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3026">
        <f t="shared" si="11"/>
        <v>111</v>
      </c>
      <c r="R31" s="775" t="s">
        <v>17</v>
      </c>
      <c r="S31" s="776">
        <f t="shared" si="12"/>
        <v>100</v>
      </c>
      <c r="T31" s="775" t="s">
        <v>17</v>
      </c>
      <c r="U31" s="776">
        <f t="shared" si="13"/>
        <v>100</v>
      </c>
      <c r="V31" s="775" t="s">
        <v>17</v>
      </c>
      <c r="W31" s="776">
        <f t="shared" si="14"/>
        <v>100</v>
      </c>
      <c r="X31" s="3030"/>
      <c r="Y31" s="3345"/>
      <c r="Z31" s="3028">
        <f t="shared" si="15"/>
        <v>111</v>
      </c>
      <c r="AA31" s="3027">
        <f t="shared" si="3"/>
        <v>1</v>
      </c>
      <c r="AB31" s="3027">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3026">
        <f t="shared" si="11"/>
        <v>111</v>
      </c>
      <c r="R32" s="775" t="s">
        <v>17</v>
      </c>
      <c r="S32" s="776">
        <f t="shared" si="12"/>
        <v>100</v>
      </c>
      <c r="T32" s="775" t="s">
        <v>17</v>
      </c>
      <c r="U32" s="776">
        <f t="shared" si="13"/>
        <v>100</v>
      </c>
      <c r="V32" s="775" t="s">
        <v>17</v>
      </c>
      <c r="W32" s="776">
        <f t="shared" si="14"/>
        <v>100</v>
      </c>
      <c r="X32" s="3030"/>
      <c r="Y32" s="3345"/>
      <c r="Z32" s="3028">
        <f t="shared" si="15"/>
        <v>111</v>
      </c>
      <c r="AA32" s="3027">
        <f t="shared" si="3"/>
        <v>1</v>
      </c>
      <c r="AB32" s="3027">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3026" t="str">
        <f t="shared" si="11"/>
        <v>建筑类型</v>
      </c>
      <c r="R33" s="775" t="s">
        <v>17</v>
      </c>
      <c r="S33" s="776">
        <f t="shared" si="12"/>
        <v>100</v>
      </c>
      <c r="T33" s="775" t="s">
        <v>17</v>
      </c>
      <c r="U33" s="776">
        <f t="shared" si="13"/>
        <v>100</v>
      </c>
      <c r="V33" s="775" t="s">
        <v>17</v>
      </c>
      <c r="W33" s="776">
        <f t="shared" si="14"/>
        <v>100</v>
      </c>
      <c r="X33" s="3030"/>
      <c r="Y33" s="3349" t="s">
        <v>2566</v>
      </c>
      <c r="Z33" s="3028" t="str">
        <f t="shared" si="15"/>
        <v>建筑类型</v>
      </c>
      <c r="AA33" s="3027">
        <f t="shared" si="3"/>
        <v>1</v>
      </c>
      <c r="AB33" s="3027">
        <f t="shared" si="4"/>
        <v>1</v>
      </c>
      <c r="AC33" s="2678">
        <f t="shared" si="5"/>
        <v>1</v>
      </c>
    </row>
    <row r="34" spans="1:29" s="472" customFormat="1" ht="15">
      <c r="A34" s="469"/>
      <c r="B34" s="3025" t="s">
        <v>2567</v>
      </c>
      <c r="C34" s="470">
        <f>面积!C27</f>
        <v>854.48</v>
      </c>
      <c r="D34" s="136">
        <v>100</v>
      </c>
      <c r="E34" s="431">
        <v>225</v>
      </c>
      <c r="F34" s="426">
        <f>LOOKUP(E34,104:104,105:105)-LOOKUP(C34,104:104,105:105)+100</f>
        <v>102</v>
      </c>
      <c r="G34" s="3021">
        <v>1050</v>
      </c>
      <c r="H34" s="136">
        <f>LOOKUP(G34,104:104,105:105)-LOOKUP(C34,104:104,105:105)+100</f>
        <v>98</v>
      </c>
      <c r="I34" s="430">
        <v>200</v>
      </c>
      <c r="J34" s="136">
        <f>LOOKUP(I34,104:104,105:105)-LOOKUP(C34,104:104,105:105)+100</f>
        <v>102</v>
      </c>
      <c r="K34" s="614"/>
      <c r="L34" s="1142"/>
      <c r="M34" s="1145"/>
      <c r="N34" s="1145"/>
      <c r="O34" s="1145"/>
      <c r="P34" s="3347"/>
      <c r="Q34" s="777" t="str">
        <f t="shared" si="11"/>
        <v>项目建筑规模</v>
      </c>
      <c r="R34" s="778" t="s">
        <v>17</v>
      </c>
      <c r="S34" s="779">
        <f t="shared" si="12"/>
        <v>102</v>
      </c>
      <c r="T34" s="778" t="s">
        <v>17</v>
      </c>
      <c r="U34" s="779">
        <f t="shared" si="13"/>
        <v>98</v>
      </c>
      <c r="V34" s="778" t="s">
        <v>17</v>
      </c>
      <c r="W34" s="779">
        <f t="shared" si="14"/>
        <v>102</v>
      </c>
      <c r="X34" s="780"/>
      <c r="Y34" s="3349"/>
      <c r="Z34" s="781" t="str">
        <f t="shared" si="15"/>
        <v>项目建筑规模</v>
      </c>
      <c r="AA34" s="3027">
        <f t="shared" si="3"/>
        <v>0.98039215686274506</v>
      </c>
      <c r="AB34" s="3027">
        <f t="shared" si="4"/>
        <v>1.0204081632653061</v>
      </c>
      <c r="AC34" s="2678">
        <f t="shared" si="5"/>
        <v>0.98039215686274506</v>
      </c>
    </row>
    <row r="35" spans="1:29" ht="15">
      <c r="A35" s="473"/>
      <c r="B35" s="3025"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3026" t="str">
        <f t="shared" si="11"/>
        <v>建筑结构</v>
      </c>
      <c r="R35" s="775" t="s">
        <v>17</v>
      </c>
      <c r="S35" s="776">
        <f t="shared" si="12"/>
        <v>100</v>
      </c>
      <c r="T35" s="775" t="s">
        <v>17</v>
      </c>
      <c r="U35" s="776">
        <f t="shared" si="13"/>
        <v>100</v>
      </c>
      <c r="V35" s="775" t="s">
        <v>17</v>
      </c>
      <c r="W35" s="776">
        <f t="shared" si="14"/>
        <v>100</v>
      </c>
      <c r="X35" s="3030"/>
      <c r="Y35" s="3349"/>
      <c r="Z35" s="3028" t="str">
        <f t="shared" si="15"/>
        <v>建筑结构</v>
      </c>
      <c r="AA35" s="3027">
        <f t="shared" si="3"/>
        <v>1</v>
      </c>
      <c r="AB35" s="3027">
        <f t="shared" si="4"/>
        <v>1</v>
      </c>
      <c r="AC35" s="2678">
        <f t="shared" si="5"/>
        <v>1</v>
      </c>
    </row>
    <row r="36" spans="1:29" ht="15">
      <c r="A36" s="473"/>
      <c r="B36" s="3025"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3026" t="str">
        <f t="shared" si="11"/>
        <v>公共部分装修</v>
      </c>
      <c r="R36" s="775" t="s">
        <v>17</v>
      </c>
      <c r="S36" s="776">
        <f t="shared" si="12"/>
        <v>100</v>
      </c>
      <c r="T36" s="775" t="s">
        <v>17</v>
      </c>
      <c r="U36" s="776">
        <f t="shared" si="13"/>
        <v>100</v>
      </c>
      <c r="V36" s="775" t="s">
        <v>17</v>
      </c>
      <c r="W36" s="776">
        <f t="shared" si="14"/>
        <v>100</v>
      </c>
      <c r="X36" s="3030"/>
      <c r="Y36" s="3349"/>
      <c r="Z36" s="3028" t="str">
        <f t="shared" si="15"/>
        <v>公共部分装修</v>
      </c>
      <c r="AA36" s="3027">
        <f t="shared" si="3"/>
        <v>1</v>
      </c>
      <c r="AB36" s="3027">
        <f t="shared" si="4"/>
        <v>1</v>
      </c>
      <c r="AC36" s="2678">
        <f t="shared" si="5"/>
        <v>1</v>
      </c>
    </row>
    <row r="37" spans="1:29" ht="15">
      <c r="A37" s="473"/>
      <c r="B37" s="3025" t="s">
        <v>2663</v>
      </c>
      <c r="C37" s="475">
        <f>'数据-取费表'!N6</f>
        <v>0.85</v>
      </c>
      <c r="D37" s="436">
        <v>100</v>
      </c>
      <c r="E37" s="475">
        <v>0.8</v>
      </c>
      <c r="F37" s="462">
        <f>LOOKUP(E37,111:111,112:112)-LOOKUP(C37,111:111,112:112)+100</f>
        <v>100</v>
      </c>
      <c r="G37" s="3022">
        <v>0.8</v>
      </c>
      <c r="H37" s="462">
        <f>LOOKUP(G37,111:111,112:112)-LOOKUP(C37,111:111,112:112)+100</f>
        <v>100</v>
      </c>
      <c r="I37" s="475">
        <v>0.82</v>
      </c>
      <c r="J37" s="436">
        <f>LOOKUP(I37,111:111,112:112)-LOOKUP(C37,111:111,112:112)+100</f>
        <v>100</v>
      </c>
      <c r="K37" s="613">
        <v>2</v>
      </c>
      <c r="L37" s="1144"/>
      <c r="M37" s="1135"/>
      <c r="N37" s="1135"/>
      <c r="O37" s="1135"/>
      <c r="P37" s="3347"/>
      <c r="Q37" s="3026" t="str">
        <f t="shared" si="11"/>
        <v>成新度</v>
      </c>
      <c r="R37" s="775" t="s">
        <v>17</v>
      </c>
      <c r="S37" s="776">
        <f t="shared" si="12"/>
        <v>100</v>
      </c>
      <c r="T37" s="775" t="s">
        <v>17</v>
      </c>
      <c r="U37" s="776">
        <f t="shared" si="13"/>
        <v>100</v>
      </c>
      <c r="V37" s="775" t="s">
        <v>17</v>
      </c>
      <c r="W37" s="776">
        <f t="shared" si="14"/>
        <v>100</v>
      </c>
      <c r="X37" s="3030"/>
      <c r="Y37" s="3349"/>
      <c r="Z37" s="3028" t="str">
        <f t="shared" si="15"/>
        <v>成新度</v>
      </c>
      <c r="AA37" s="3027">
        <f t="shared" si="3"/>
        <v>1</v>
      </c>
      <c r="AB37" s="3027">
        <f t="shared" si="4"/>
        <v>1</v>
      </c>
      <c r="AC37" s="2678">
        <f t="shared" si="5"/>
        <v>1</v>
      </c>
    </row>
    <row r="38" spans="1:29" s="117" customFormat="1" ht="15">
      <c r="A38" s="474"/>
      <c r="B38" s="3025"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3023" t="str">
        <f t="shared" si="11"/>
        <v>写字楼等级</v>
      </c>
      <c r="R38" s="771" t="s">
        <v>17</v>
      </c>
      <c r="S38" s="772">
        <f t="shared" si="12"/>
        <v>95</v>
      </c>
      <c r="T38" s="771" t="s">
        <v>17</v>
      </c>
      <c r="U38" s="772">
        <f t="shared" si="13"/>
        <v>95</v>
      </c>
      <c r="V38" s="771" t="s">
        <v>17</v>
      </c>
      <c r="W38" s="772">
        <f t="shared" si="14"/>
        <v>95</v>
      </c>
      <c r="X38" s="773"/>
      <c r="Y38" s="3349"/>
      <c r="Z38" s="3024" t="str">
        <f t="shared" si="15"/>
        <v>写字楼等级</v>
      </c>
      <c r="AA38" s="774">
        <f t="shared" si="3"/>
        <v>1.0526315789473684</v>
      </c>
      <c r="AB38" s="774">
        <f t="shared" si="4"/>
        <v>1.0526315789473684</v>
      </c>
      <c r="AC38" s="2675">
        <f t="shared" si="5"/>
        <v>1.0526315789473684</v>
      </c>
    </row>
    <row r="39" spans="1:29" ht="15">
      <c r="A39" s="473"/>
      <c r="B39" s="3025"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3026" t="str">
        <f t="shared" si="11"/>
        <v>物业管理</v>
      </c>
      <c r="R39" s="775" t="s">
        <v>17</v>
      </c>
      <c r="S39" s="776">
        <f t="shared" si="12"/>
        <v>100</v>
      </c>
      <c r="T39" s="775" t="s">
        <v>17</v>
      </c>
      <c r="U39" s="776">
        <f t="shared" si="13"/>
        <v>100</v>
      </c>
      <c r="V39" s="775" t="s">
        <v>17</v>
      </c>
      <c r="W39" s="776">
        <f t="shared" si="14"/>
        <v>100</v>
      </c>
      <c r="X39" s="3030"/>
      <c r="Y39" s="3349" t="s">
        <v>2566</v>
      </c>
      <c r="Z39" s="3028" t="str">
        <f t="shared" si="15"/>
        <v>物业管理</v>
      </c>
      <c r="AA39" s="3027">
        <f t="shared" si="3"/>
        <v>1</v>
      </c>
      <c r="AB39" s="3027">
        <f t="shared" si="4"/>
        <v>1</v>
      </c>
      <c r="AC39" s="2678">
        <f t="shared" si="5"/>
        <v>1</v>
      </c>
    </row>
    <row r="40" spans="1:29" ht="15">
      <c r="A40" s="473"/>
      <c r="B40" s="3025"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3026" t="str">
        <f t="shared" si="11"/>
        <v>市政基础设施</v>
      </c>
      <c r="R40" s="775" t="s">
        <v>17</v>
      </c>
      <c r="S40" s="776">
        <f t="shared" si="12"/>
        <v>100</v>
      </c>
      <c r="T40" s="775" t="s">
        <v>17</v>
      </c>
      <c r="U40" s="776">
        <f t="shared" si="13"/>
        <v>100</v>
      </c>
      <c r="V40" s="775" t="s">
        <v>17</v>
      </c>
      <c r="W40" s="776">
        <f t="shared" si="14"/>
        <v>100</v>
      </c>
      <c r="X40" s="3030"/>
      <c r="Y40" s="3349"/>
      <c r="Z40" s="3028" t="str">
        <f t="shared" si="15"/>
        <v>市政基础设施</v>
      </c>
      <c r="AA40" s="3027">
        <f t="shared" si="3"/>
        <v>1</v>
      </c>
      <c r="AB40" s="3027">
        <f t="shared" si="4"/>
        <v>1</v>
      </c>
      <c r="AC40" s="2678">
        <f t="shared" si="5"/>
        <v>1</v>
      </c>
    </row>
    <row r="41" spans="1:29" ht="15">
      <c r="A41" s="473"/>
      <c r="B41" s="3025"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3026" t="str">
        <f t="shared" si="11"/>
        <v>层高</v>
      </c>
      <c r="R41" s="775" t="s">
        <v>17</v>
      </c>
      <c r="S41" s="776">
        <f t="shared" si="12"/>
        <v>100</v>
      </c>
      <c r="T41" s="775" t="s">
        <v>17</v>
      </c>
      <c r="U41" s="776">
        <f t="shared" si="13"/>
        <v>100</v>
      </c>
      <c r="V41" s="775" t="s">
        <v>17</v>
      </c>
      <c r="W41" s="776">
        <f t="shared" si="14"/>
        <v>100</v>
      </c>
      <c r="X41" s="3030"/>
      <c r="Y41" s="3349"/>
      <c r="Z41" s="3028" t="str">
        <f t="shared" si="15"/>
        <v>层高</v>
      </c>
      <c r="AA41" s="3027">
        <f t="shared" si="3"/>
        <v>1</v>
      </c>
      <c r="AB41" s="3027">
        <f t="shared" si="4"/>
        <v>1</v>
      </c>
      <c r="AC41" s="2678">
        <f t="shared" si="5"/>
        <v>1</v>
      </c>
    </row>
    <row r="42" spans="1:29" s="472" customFormat="1" ht="15">
      <c r="A42" s="469"/>
      <c r="B42" s="3031"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3027">
        <f t="shared" si="3"/>
        <v>1</v>
      </c>
      <c r="AB42" s="3027">
        <f t="shared" si="4"/>
        <v>1</v>
      </c>
      <c r="AC42" s="2678">
        <f t="shared" si="5"/>
        <v>1</v>
      </c>
    </row>
    <row r="43" spans="1:29" ht="15">
      <c r="A43" s="473"/>
      <c r="B43" s="3025"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3026" t="str">
        <f t="shared" si="11"/>
        <v>内部装修</v>
      </c>
      <c r="R43" s="775" t="s">
        <v>17</v>
      </c>
      <c r="S43" s="776">
        <f t="shared" si="12"/>
        <v>100</v>
      </c>
      <c r="T43" s="775" t="s">
        <v>17</v>
      </c>
      <c r="U43" s="776">
        <f t="shared" si="13"/>
        <v>100</v>
      </c>
      <c r="V43" s="775" t="s">
        <v>17</v>
      </c>
      <c r="W43" s="776">
        <f t="shared" si="14"/>
        <v>100</v>
      </c>
      <c r="X43" s="3030"/>
      <c r="Y43" s="3349"/>
      <c r="Z43" s="3028" t="str">
        <f t="shared" si="15"/>
        <v>内部装修</v>
      </c>
      <c r="AA43" s="3027">
        <f t="shared" si="3"/>
        <v>1</v>
      </c>
      <c r="AB43" s="3027">
        <f t="shared" si="4"/>
        <v>1</v>
      </c>
      <c r="AC43" s="2678">
        <f t="shared" si="5"/>
        <v>1</v>
      </c>
    </row>
    <row r="44" spans="1:29" ht="15">
      <c r="A44" s="473"/>
      <c r="B44" s="3025"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3026" t="str">
        <f t="shared" si="11"/>
        <v>内部装修维护情况</v>
      </c>
      <c r="R44" s="775" t="s">
        <v>17</v>
      </c>
      <c r="S44" s="776">
        <f t="shared" si="12"/>
        <v>100</v>
      </c>
      <c r="T44" s="775" t="s">
        <v>17</v>
      </c>
      <c r="U44" s="776">
        <f t="shared" si="13"/>
        <v>100</v>
      </c>
      <c r="V44" s="775" t="s">
        <v>17</v>
      </c>
      <c r="W44" s="776">
        <f t="shared" si="14"/>
        <v>100</v>
      </c>
      <c r="X44" s="3030"/>
      <c r="Y44" s="3349"/>
      <c r="Z44" s="3028" t="str">
        <f t="shared" si="15"/>
        <v>内部装修维护情况</v>
      </c>
      <c r="AA44" s="3027">
        <f t="shared" si="3"/>
        <v>1</v>
      </c>
      <c r="AB44" s="3027">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3023">
        <f t="shared" si="11"/>
        <v>0</v>
      </c>
      <c r="R45" s="771" t="s">
        <v>17</v>
      </c>
      <c r="S45" s="772">
        <f t="shared" si="12"/>
        <v>100</v>
      </c>
      <c r="T45" s="771" t="s">
        <v>17</v>
      </c>
      <c r="U45" s="772">
        <f t="shared" si="13"/>
        <v>100</v>
      </c>
      <c r="V45" s="771" t="s">
        <v>17</v>
      </c>
      <c r="W45" s="772">
        <f t="shared" si="14"/>
        <v>100</v>
      </c>
      <c r="X45" s="773"/>
      <c r="Y45" s="3349"/>
      <c r="Z45" s="3024">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3026">
        <f t="shared" si="11"/>
        <v>0</v>
      </c>
      <c r="R46" s="775" t="s">
        <v>17</v>
      </c>
      <c r="S46" s="776">
        <f t="shared" si="12"/>
        <v>100</v>
      </c>
      <c r="T46" s="775" t="s">
        <v>17</v>
      </c>
      <c r="U46" s="776">
        <f t="shared" si="13"/>
        <v>100</v>
      </c>
      <c r="V46" s="775" t="s">
        <v>17</v>
      </c>
      <c r="W46" s="776">
        <f t="shared" si="14"/>
        <v>100</v>
      </c>
      <c r="X46" s="3030"/>
      <c r="Y46" s="3349"/>
      <c r="Z46" s="3028">
        <f t="shared" si="15"/>
        <v>0</v>
      </c>
      <c r="AA46" s="3027">
        <f t="shared" si="3"/>
        <v>1</v>
      </c>
      <c r="AB46" s="3027">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3026">
        <f t="shared" si="11"/>
        <v>0</v>
      </c>
      <c r="R47" s="775" t="s">
        <v>17</v>
      </c>
      <c r="S47" s="776">
        <f t="shared" si="12"/>
        <v>100</v>
      </c>
      <c r="T47" s="775" t="s">
        <v>17</v>
      </c>
      <c r="U47" s="776">
        <f t="shared" si="13"/>
        <v>100</v>
      </c>
      <c r="V47" s="775" t="s">
        <v>17</v>
      </c>
      <c r="W47" s="776">
        <f t="shared" si="14"/>
        <v>100</v>
      </c>
      <c r="X47" s="3030"/>
      <c r="Y47" s="3350"/>
      <c r="Z47" s="3028">
        <f t="shared" si="15"/>
        <v>0</v>
      </c>
      <c r="AA47" s="3027">
        <f t="shared" si="3"/>
        <v>1</v>
      </c>
      <c r="AB47" s="3027">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22" t="str">
        <f>A48</f>
        <v>成交单价（元/平方米）</v>
      </c>
      <c r="Q48" s="3351"/>
      <c r="R48" s="3352">
        <f>E48</f>
        <v>41850</v>
      </c>
      <c r="S48" s="3352"/>
      <c r="T48" s="3352">
        <f>G48</f>
        <v>45105</v>
      </c>
      <c r="U48" s="3352"/>
      <c r="V48" s="3352">
        <f>I48</f>
        <v>41850</v>
      </c>
      <c r="W48" s="3352"/>
      <c r="X48" s="447"/>
      <c r="Y48" s="782"/>
      <c r="Z48" s="447"/>
      <c r="AA48" s="447"/>
      <c r="AB48" s="447"/>
      <c r="AC48" s="631"/>
    </row>
    <row r="49" spans="1:29" ht="15.75" thickBot="1">
      <c r="A49" s="487" t="s">
        <v>2579</v>
      </c>
      <c r="B49" s="488"/>
      <c r="C49" s="1417">
        <f>R50</f>
        <v>48125</v>
      </c>
      <c r="D49" s="1418"/>
      <c r="E49" s="1419">
        <f>R49</f>
        <v>48852</v>
      </c>
      <c r="F49" s="1419"/>
      <c r="G49" s="1417">
        <f>T49</f>
        <v>50503</v>
      </c>
      <c r="H49" s="1418"/>
      <c r="I49" s="1419">
        <f>V49</f>
        <v>45021</v>
      </c>
      <c r="J49" s="490"/>
      <c r="K49" s="785"/>
      <c r="L49" s="1147"/>
      <c r="M49" s="1135"/>
      <c r="N49" s="1135"/>
      <c r="O49" s="1135"/>
      <c r="P49" s="3322" t="str">
        <f>A49</f>
        <v>比较价值（元/平方米）</v>
      </c>
      <c r="Q49" s="3351"/>
      <c r="R49" s="3352">
        <f>IF(F1="售价",ROUND(PRODUCT(R48,AA7:AA47),0),ROUND(PRODUCT(R48,AA7:AA47),1))</f>
        <v>48852</v>
      </c>
      <c r="S49" s="3352"/>
      <c r="T49" s="3352">
        <f>IF(F1="售价",ROUND(PRODUCT(T48,AB7:AB47),0),ROUND(PRODUCT(T48,AB7:AB47),1))</f>
        <v>50503</v>
      </c>
      <c r="U49" s="3352"/>
      <c r="V49" s="3352">
        <f>IF(F1="售价",ROUND(PRODUCT(V48,AC7:AC47),0),ROUND(PRODUCT(V48,AC7:AC47),1))</f>
        <v>45021</v>
      </c>
      <c r="W49" s="3352"/>
      <c r="X49" s="447"/>
      <c r="Y49" s="447"/>
      <c r="Z49" s="447"/>
      <c r="AA49" s="447"/>
      <c r="AB49" s="447"/>
      <c r="AC49" s="631"/>
    </row>
    <row r="50" spans="1:29" ht="15.75" thickBot="1">
      <c r="A50" s="493" t="s">
        <v>2580</v>
      </c>
      <c r="B50" s="494"/>
      <c r="C50" s="1421">
        <f>R50</f>
        <v>48125</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48125</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2582</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c r="D4" s="2429"/>
      <c r="E4" s="3245" t="s">
        <v>2126</v>
      </c>
      <c r="F4" s="3258"/>
      <c r="G4" s="3258"/>
      <c r="H4" s="3258"/>
      <c r="I4" s="3246"/>
      <c r="K4" s="2430"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30"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c r="D14" s="3254"/>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SUMIF(INDIRECT("'"&amp;C4&amp;"'"&amp;"!A:A"),'结果表-办公未租'!B19,INDIRECT("'"&amp;C4&amp;"'"&amp;"!B:B"))</f>
        <v>#REF!</v>
      </c>
      <c r="D19" s="144" t="e">
        <f ca="1">SUMIF(INDIRECT("'"&amp;D4&amp;"'"&amp;"!A:A"),'结果表-办公未租'!B19,INDIRECT("'"&amp;D4&amp;"'"&amp;"!B:B"))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SUMIF(INDIRECT("'"&amp;C4&amp;"'"&amp;"!A:A"),'结果表-办公未租'!B20,INDIRECT("'"&amp;C4&amp;"'"&amp;"!B:B"))</f>
        <v>#REF!</v>
      </c>
      <c r="D20" s="147" t="e">
        <f ca="1">SUMIF(INDIRECT("'"&amp;D4&amp;"'"&amp;"!A:A"),'结果表-办公未租'!B20,INDIRECT("'"&amp;D4&amp;"'"&amp;"!B:B"))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t="e">
        <f ca="1">ROUND(H101*F45,0)</f>
        <v>#REF!</v>
      </c>
      <c r="E45" s="166" t="s">
        <v>2187</v>
      </c>
      <c r="F45" s="167">
        <v>1</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2971">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2971">
        <v>2</v>
      </c>
      <c r="K47" s="3191" t="s">
        <v>2197</v>
      </c>
      <c r="L47" s="3191"/>
      <c r="M47" s="3193">
        <f>'数据-取费表'!B2</f>
        <v>43104</v>
      </c>
      <c r="N47" s="3193"/>
      <c r="O47" s="3193"/>
    </row>
    <row r="48" spans="1:15" ht="25.5">
      <c r="A48" s="3259" t="s">
        <v>2198</v>
      </c>
      <c r="B48" s="3260"/>
      <c r="C48" s="3260"/>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191" t="s">
        <v>2201</v>
      </c>
      <c r="L48" s="3191"/>
      <c r="M48" s="3194" t="e">
        <f ca="1">H101</f>
        <v>#REF!</v>
      </c>
      <c r="N48" s="3194"/>
      <c r="O48" s="3194"/>
    </row>
    <row r="49" spans="1:35" ht="25.5" customHeight="1">
      <c r="A49" s="177" t="s">
        <v>2202</v>
      </c>
      <c r="B49" s="3239" t="s">
        <v>2203</v>
      </c>
      <c r="C49" s="3239"/>
      <c r="D49" s="178">
        <v>0</v>
      </c>
      <c r="E49" s="23" t="s">
        <v>2204</v>
      </c>
      <c r="F49" s="28" t="s">
        <v>34</v>
      </c>
      <c r="G49" s="3220"/>
      <c r="H49" s="138"/>
      <c r="I49" s="2485"/>
      <c r="J49" s="2971">
        <v>4</v>
      </c>
      <c r="K49" s="3191" t="str">
        <f>IF(项目基本情况!E8="房地产抵押价值","房地产抵押价值","抵押担保权已注销时的房地产抵押价值")</f>
        <v>房地产抵押价值</v>
      </c>
      <c r="L49" s="3191"/>
      <c r="M49" s="3194" t="e">
        <f ca="1">IF(项目基本情况!E8="房地产抵押价值",H107,H109)</f>
        <v>#REF!</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970" t="s">
        <v>2208</v>
      </c>
      <c r="K51" s="3191" t="s">
        <v>2209</v>
      </c>
      <c r="L51" s="3191"/>
      <c r="M51" s="2970" t="s">
        <v>2210</v>
      </c>
      <c r="N51" s="2970" t="s">
        <v>2211</v>
      </c>
      <c r="O51" s="2970" t="s">
        <v>2212</v>
      </c>
    </row>
    <row r="52" spans="1:35" ht="24" customHeight="1">
      <c r="A52" s="184" t="s">
        <v>2213</v>
      </c>
      <c r="B52" s="3239" t="s">
        <v>2214</v>
      </c>
      <c r="C52" s="3239"/>
      <c r="D52" s="183" t="e">
        <f ca="1">ROUND(D45*'数据-取费表'!B41/(1+'数据-取费表'!C42),0)</f>
        <v>#REF!</v>
      </c>
      <c r="E52" s="11" t="s">
        <v>2215</v>
      </c>
      <c r="F52" s="185">
        <f>'数据-取费表'!B41</f>
        <v>5.6000000000000001E-2</v>
      </c>
      <c r="G52" s="2487"/>
      <c r="H52" s="138"/>
      <c r="I52" s="2485"/>
      <c r="J52" s="2971">
        <v>1</v>
      </c>
      <c r="K52" s="3214" t="s">
        <v>2216</v>
      </c>
      <c r="L52" s="3214"/>
      <c r="M52" s="1756">
        <f>D48</f>
        <v>0</v>
      </c>
      <c r="N52" s="2971" t="str">
        <f>E48</f>
        <v>销售额×税（费）率</v>
      </c>
      <c r="O52" s="1757" t="str">
        <f>F48</f>
        <v>免征</v>
      </c>
    </row>
    <row r="53" spans="1:35" ht="12" customHeight="1">
      <c r="A53" s="184" t="s">
        <v>2217</v>
      </c>
      <c r="B53" s="3240" t="s">
        <v>2218</v>
      </c>
      <c r="C53" s="3241"/>
      <c r="D53" s="183" t="e">
        <f ca="1">ROUND(D45*'数据-取费表'!B41/(1+'数据-取费表'!C42),0)</f>
        <v>#REF!</v>
      </c>
      <c r="E53" s="11" t="s">
        <v>2215</v>
      </c>
      <c r="F53" s="185">
        <f>'数据-取费表'!B41</f>
        <v>5.6000000000000001E-2</v>
      </c>
      <c r="G53" s="2487"/>
      <c r="H53" s="138"/>
      <c r="I53" s="2485"/>
      <c r="J53" s="2971">
        <v>2</v>
      </c>
      <c r="K53" s="3214" t="s">
        <v>2219</v>
      </c>
      <c r="L53" s="3214"/>
      <c r="M53" s="1756" t="e">
        <f t="shared" ref="M53:O54" ca="1" si="0">D55</f>
        <v>#REF!</v>
      </c>
      <c r="N53" s="2971" t="str">
        <f t="shared" si="0"/>
        <v>销售额×税（费）率</v>
      </c>
      <c r="O53" s="1757">
        <f t="shared" si="0"/>
        <v>5.0000000000000001E-4</v>
      </c>
    </row>
    <row r="54" spans="1:35" ht="12" customHeight="1">
      <c r="A54" s="184" t="s">
        <v>2220</v>
      </c>
      <c r="B54" s="3240" t="s">
        <v>2221</v>
      </c>
      <c r="C54" s="3241"/>
      <c r="D54" s="183" t="e">
        <f ca="1">C68</f>
        <v>#REF!</v>
      </c>
      <c r="E54" s="30" t="s">
        <v>2222</v>
      </c>
      <c r="F54" s="185">
        <f>'数据-取费表'!B41</f>
        <v>5.6000000000000001E-2</v>
      </c>
      <c r="G54" s="2487"/>
      <c r="H54" s="2488"/>
      <c r="I54" s="2485"/>
      <c r="J54" s="2971">
        <v>3</v>
      </c>
      <c r="K54" s="3214" t="s">
        <v>2223</v>
      </c>
      <c r="L54" s="3214"/>
      <c r="M54" s="1756" t="e">
        <f t="shared" ca="1" si="0"/>
        <v>#REF!</v>
      </c>
      <c r="N54" s="2971" t="str">
        <f t="shared" si="0"/>
        <v>增值额×税（费）率</v>
      </c>
      <c r="O54" s="1758" t="str">
        <f t="shared" si="0"/>
        <v>——</v>
      </c>
    </row>
    <row r="55" spans="1:35" ht="24" customHeight="1">
      <c r="A55" s="3278" t="s">
        <v>2224</v>
      </c>
      <c r="B55" s="3260"/>
      <c r="C55" s="3260"/>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14" t="str">
        <f>IF(H59="非个人房产","——","个人所得税")</f>
        <v>——</v>
      </c>
      <c r="L55" s="3214"/>
      <c r="M55" s="1759" t="str">
        <f>D59</f>
        <v>——</v>
      </c>
      <c r="N55" s="2972" t="str">
        <f>E59</f>
        <v>——</v>
      </c>
      <c r="O55" s="1760" t="str">
        <f>F59</f>
        <v>——</v>
      </c>
    </row>
    <row r="56" spans="1:35" ht="24.75">
      <c r="A56" s="3278" t="s">
        <v>2227</v>
      </c>
      <c r="B56" s="3260"/>
      <c r="C56" s="3260"/>
      <c r="D56" s="186" t="e">
        <f ca="1">IF(H56="个人住宅",D57,D58)</f>
        <v>#REF!</v>
      </c>
      <c r="E56" s="11" t="s">
        <v>2228</v>
      </c>
      <c r="F56" s="185" t="str">
        <f>IF(H56="正常",F58,"免征")</f>
        <v>——</v>
      </c>
      <c r="G56" s="2489" t="s">
        <v>2229</v>
      </c>
      <c r="H56" s="2490" t="s">
        <v>2226</v>
      </c>
      <c r="I56" s="2491"/>
      <c r="J56" s="2971"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IF(AND(J55="",J56=""),4,IF(项目基本情况!K6="上海银行",'结果表-办公未租'!J56+1,'结果表-办公未租'!J55+1))</f>
        <v>4</v>
      </c>
      <c r="K57" s="3214" t="s">
        <v>2231</v>
      </c>
      <c r="L57" s="2492" t="s">
        <v>2232</v>
      </c>
      <c r="M57" s="1761"/>
      <c r="N57" s="1762">
        <f ca="1">SUMIF(M52:M56,"&lt;9e307")</f>
        <v>0</v>
      </c>
      <c r="O57" s="2493"/>
      <c r="P57" s="1755" t="e">
        <f ca="1">N57/M49</f>
        <v>#REF!</v>
      </c>
    </row>
    <row r="58" spans="1:35" ht="24.75">
      <c r="A58" s="184" t="s">
        <v>2213</v>
      </c>
      <c r="B58" s="3245" t="s">
        <v>2233</v>
      </c>
      <c r="C58" s="3258"/>
      <c r="D58" s="186" t="e">
        <f ca="1">IF(H58="转让取得",C81,C97)</f>
        <v>#REF!</v>
      </c>
      <c r="E58" s="11" t="s">
        <v>2228</v>
      </c>
      <c r="F58" s="24" t="s">
        <v>34</v>
      </c>
      <c r="G58" s="2487"/>
      <c r="H58" s="2490" t="s">
        <v>2234</v>
      </c>
      <c r="I58" s="2491"/>
      <c r="J58" s="3214"/>
      <c r="K58" s="3214"/>
      <c r="L58" s="2492" t="s">
        <v>2235</v>
      </c>
      <c r="M58" s="1763"/>
      <c r="N58" s="2494" t="str">
        <f ca="1">NUMBERSTRING(INT(N57*10000),2)&amp;"元整"</f>
        <v>零元整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2971" t="s">
        <v>2232</v>
      </c>
      <c r="M59" s="1764"/>
      <c r="N59" s="1765" t="e">
        <f ca="1">M49-N57</f>
        <v>#REF!</v>
      </c>
      <c r="O59" s="2497"/>
    </row>
    <row r="60" spans="1:35" ht="12" customHeight="1">
      <c r="A60" s="2498"/>
      <c r="B60" s="2420"/>
      <c r="C60" s="2420"/>
      <c r="D60" s="2420"/>
      <c r="E60" s="2168"/>
      <c r="F60" s="2491"/>
      <c r="G60" s="2491"/>
      <c r="H60" s="2499"/>
      <c r="I60" s="138"/>
      <c r="J60" s="3217"/>
      <c r="K60" s="3214"/>
      <c r="L60" s="2492" t="s">
        <v>2235</v>
      </c>
      <c r="M60" s="1763"/>
      <c r="N60" s="2494" t="e">
        <f ca="1">NUMBERSTRING(INT(N59*10000),2)&amp;"元整"</f>
        <v>#REF!</v>
      </c>
      <c r="O60" s="2495"/>
    </row>
    <row r="61" spans="1:35" ht="13.5" thickBot="1">
      <c r="A61" s="3277" t="s">
        <v>2239</v>
      </c>
      <c r="B61" s="3277"/>
      <c r="C61" s="3277"/>
      <c r="D61" s="3277"/>
      <c r="E61" s="3277"/>
      <c r="F61" s="2491"/>
      <c r="G61" s="2491"/>
      <c r="H61" s="2499"/>
      <c r="I61" s="138"/>
      <c r="J61" s="2971">
        <f>J59+1</f>
        <v>6</v>
      </c>
      <c r="K61" s="3214" t="s">
        <v>2240</v>
      </c>
      <c r="L61" s="3214"/>
      <c r="M61" s="1766"/>
      <c r="N61" s="1767" t="e">
        <f ca="1">ROUND(N59*10000/'数据-汇总表'!E3,0)</f>
        <v>#REF!</v>
      </c>
      <c r="O61" s="2500"/>
    </row>
    <row r="62" spans="1:35" ht="12.75">
      <c r="A62" s="3234" t="s">
        <v>2241</v>
      </c>
      <c r="B62" s="3235"/>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19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19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19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19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19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19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19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f>C4</f>
        <v>0</v>
      </c>
      <c r="D101" s="738">
        <f>D4</f>
        <v>0</v>
      </c>
      <c r="E101" s="3195" t="s">
        <v>2300</v>
      </c>
      <c r="F101" s="3196"/>
      <c r="G101" s="2522" t="s">
        <v>2301</v>
      </c>
      <c r="H101" s="1049" t="e">
        <f ca="1">H118</f>
        <v>#REF!</v>
      </c>
      <c r="I101" s="138"/>
    </row>
    <row r="102" spans="1:35" ht="18.75" customHeight="1">
      <c r="A102" s="3225" t="s">
        <v>2302</v>
      </c>
      <c r="B102" s="2522" t="s">
        <v>2301</v>
      </c>
      <c r="C102" s="737" t="e">
        <f ca="1">C19</f>
        <v>#REF!</v>
      </c>
      <c r="D102" s="738" t="e">
        <f ca="1">D19</f>
        <v>#REF!</v>
      </c>
      <c r="E102" s="3195"/>
      <c r="F102" s="3196"/>
      <c r="G102" s="2522" t="s">
        <v>2303</v>
      </c>
      <c r="H102" s="372" t="e">
        <f ca="1">I118</f>
        <v>#REF!</v>
      </c>
      <c r="I102" s="138"/>
    </row>
    <row r="103" spans="1:35" ht="42.75" customHeight="1">
      <c r="A103" s="3225"/>
      <c r="B103" s="2522" t="s">
        <v>2303</v>
      </c>
      <c r="C103" s="739" t="e">
        <f ca="1">C20</f>
        <v>#REF!</v>
      </c>
      <c r="D103" s="740" t="e">
        <f ca="1">D20</f>
        <v>#REF!</v>
      </c>
      <c r="E103" s="3189" t="s">
        <v>2304</v>
      </c>
      <c r="F103" s="3190"/>
      <c r="G103" s="2523" t="s">
        <v>2305</v>
      </c>
      <c r="H103" s="1049">
        <f>IF(D36="正常操作",H104+H105+H106,H105+H106)</f>
        <v>0</v>
      </c>
      <c r="I103" s="138"/>
    </row>
    <row r="104" spans="1:35" ht="18.75" customHeight="1">
      <c r="A104" s="3225"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t="e">
        <f ca="1">IF(E107="——","——",H101-H103)</f>
        <v>#REF!</v>
      </c>
      <c r="I107" s="138"/>
    </row>
    <row r="108" spans="1:35" ht="18.75" customHeight="1">
      <c r="A108" s="138"/>
      <c r="B108" s="138"/>
      <c r="C108" s="138"/>
      <c r="D108" s="138"/>
      <c r="E108" s="3226"/>
      <c r="F108" s="3196"/>
      <c r="G108" s="2522" t="s">
        <v>2303</v>
      </c>
      <c r="H108" s="372" t="e">
        <f ca="1">ROUND(H107*10000/'数据-汇总表'!E3,0)</f>
        <v>#REF!</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62" t="s">
        <v>2321</v>
      </c>
      <c r="B119" s="3162"/>
      <c r="C119" s="3162"/>
      <c r="D119" s="3207" t="e">
        <f ca="1">NUMBERSTRING(INT(D118*10000),2)&amp;"元整"</f>
        <v>#REF!</v>
      </c>
      <c r="E119" s="3208"/>
      <c r="F119" s="3207" t="e">
        <f ca="1">NUMBERSTRING(INT(F118*10000),2)&amp;"元整"</f>
        <v>#REF!</v>
      </c>
      <c r="G119" s="3208"/>
      <c r="H119" s="3207" t="e">
        <f ca="1">NUMBERSTRING(INT(H118*10000),2)&amp;"元整"</f>
        <v>#REF!</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t="e">
        <f ca="1">H107</f>
        <v>#REF!</v>
      </c>
      <c r="E122" s="3203"/>
      <c r="F122" s="3203"/>
      <c r="G122" s="3203"/>
      <c r="H122" s="3203"/>
      <c r="I122" s="3204"/>
    </row>
    <row r="123" spans="1:11" ht="18.75" customHeight="1">
      <c r="A123" s="3162" t="s">
        <v>2321</v>
      </c>
      <c r="B123" s="3162"/>
      <c r="C123" s="3162"/>
      <c r="D123" s="3207" t="e">
        <f ca="1">NUMBERSTRING(INT(D122*10000),2)&amp;"元整"</f>
        <v>#REF!</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9" sqref="C49"/>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3462</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113227</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39" t="s">
        <v>2649</v>
      </c>
      <c r="AC4" s="3369" t="s">
        <v>2650</v>
      </c>
    </row>
    <row r="5" spans="1:29" ht="15">
      <c r="A5" s="405"/>
      <c r="B5" s="406"/>
      <c r="C5" s="3356" t="s">
        <v>3554</v>
      </c>
      <c r="D5" s="3317"/>
      <c r="E5" s="3357" t="s">
        <v>3553</v>
      </c>
      <c r="F5" s="3315"/>
      <c r="G5" s="3356" t="s">
        <v>3555</v>
      </c>
      <c r="H5" s="3317"/>
      <c r="I5" s="3356" t="s">
        <v>3556</v>
      </c>
      <c r="J5" s="3317"/>
      <c r="K5" s="611"/>
      <c r="L5" s="1134"/>
      <c r="M5" s="1135"/>
      <c r="N5" s="1135"/>
      <c r="O5" s="1135"/>
      <c r="P5" s="3374"/>
      <c r="Q5" s="3333"/>
      <c r="R5" s="3312"/>
      <c r="S5" s="3313"/>
      <c r="T5" s="3312"/>
      <c r="U5" s="3313"/>
      <c r="V5" s="3339"/>
      <c r="W5" s="3339"/>
      <c r="X5" s="1818"/>
      <c r="Y5" s="3312"/>
      <c r="Z5" s="3313"/>
      <c r="AA5" s="3306"/>
      <c r="AB5" s="3339"/>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39"/>
      <c r="AC6" s="3307"/>
    </row>
    <row r="7" spans="1:29" s="117" customFormat="1" ht="15.75" thickBot="1">
      <c r="A7" s="409" t="s">
        <v>2549</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08" t="s">
        <v>2550</v>
      </c>
      <c r="Q7" s="3341"/>
      <c r="R7" s="771" t="s">
        <v>17</v>
      </c>
      <c r="S7" s="772">
        <f t="shared" ref="S7:S15" si="0">F7</f>
        <v>99</v>
      </c>
      <c r="T7" s="771" t="s">
        <v>17</v>
      </c>
      <c r="U7" s="772">
        <f t="shared" ref="U7:U15" si="1">H7</f>
        <v>99</v>
      </c>
      <c r="V7" s="771" t="s">
        <v>17</v>
      </c>
      <c r="W7" s="772">
        <f t="shared" ref="W7:W15" si="2">J7</f>
        <v>100</v>
      </c>
      <c r="X7" s="773"/>
      <c r="Y7" s="3308" t="s">
        <v>2550</v>
      </c>
      <c r="Z7" s="3309"/>
      <c r="AA7" s="774">
        <f>D7/F7</f>
        <v>1.0101010101010102</v>
      </c>
      <c r="AB7" s="774">
        <f>D7/H7</f>
        <v>1.0101010101010102</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08" t="s">
        <v>2553</v>
      </c>
      <c r="Q8" s="3309"/>
      <c r="R8" s="771" t="s">
        <v>17</v>
      </c>
      <c r="S8" s="772">
        <f t="shared" si="0"/>
        <v>100</v>
      </c>
      <c r="T8" s="771" t="s">
        <v>17</v>
      </c>
      <c r="U8" s="772">
        <f t="shared" si="1"/>
        <v>100</v>
      </c>
      <c r="V8" s="771" t="s">
        <v>17</v>
      </c>
      <c r="W8" s="772">
        <f t="shared" si="2"/>
        <v>100</v>
      </c>
      <c r="X8" s="773"/>
      <c r="Y8" s="3308" t="s">
        <v>2553</v>
      </c>
      <c r="Z8" s="3309"/>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2"/>
      <c r="Q11" s="1800" t="str">
        <f t="shared" si="6"/>
        <v>容积率</v>
      </c>
      <c r="R11" s="771" t="s">
        <v>17</v>
      </c>
      <c r="S11" s="772">
        <f t="shared" si="0"/>
        <v>100</v>
      </c>
      <c r="T11" s="771" t="s">
        <v>17</v>
      </c>
      <c r="U11" s="772">
        <f t="shared" si="1"/>
        <v>100</v>
      </c>
      <c r="V11" s="771" t="s">
        <v>17</v>
      </c>
      <c r="W11" s="772">
        <f t="shared" si="2"/>
        <v>100</v>
      </c>
      <c r="X11" s="773"/>
      <c r="Y11" s="3162"/>
      <c r="Z11" s="55"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2"/>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2"/>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2"/>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2" t="s">
        <v>2561</v>
      </c>
      <c r="Q15" s="1815" t="str">
        <f t="shared" si="6"/>
        <v>商业繁华度</v>
      </c>
      <c r="R15" s="775" t="s">
        <v>17</v>
      </c>
      <c r="S15" s="776">
        <f t="shared" si="0"/>
        <v>100</v>
      </c>
      <c r="T15" s="775" t="s">
        <v>17</v>
      </c>
      <c r="U15" s="776">
        <f t="shared" si="1"/>
        <v>100</v>
      </c>
      <c r="V15" s="775" t="s">
        <v>17</v>
      </c>
      <c r="W15" s="776">
        <f t="shared" si="2"/>
        <v>100</v>
      </c>
      <c r="X15" s="1818"/>
      <c r="Y15" s="3344" t="s">
        <v>2561</v>
      </c>
      <c r="Z15" s="1819" t="str">
        <f t="shared" si="7"/>
        <v>商业繁华度</v>
      </c>
      <c r="AA15" s="1816">
        <f t="shared" si="3"/>
        <v>1</v>
      </c>
      <c r="AB15" s="1816">
        <f t="shared" si="4"/>
        <v>1</v>
      </c>
      <c r="AC15" s="1816">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43"/>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3"/>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43"/>
      <c r="Q18" s="1815"/>
      <c r="R18" s="775"/>
      <c r="S18" s="776"/>
      <c r="T18" s="775"/>
      <c r="U18" s="776"/>
      <c r="V18" s="775"/>
      <c r="W18" s="776"/>
      <c r="X18" s="1818"/>
      <c r="Y18" s="3345"/>
      <c r="Z18" s="1819"/>
      <c r="AA18" s="1816">
        <v>1</v>
      </c>
      <c r="AB18" s="1816">
        <v>1</v>
      </c>
      <c r="AC18" s="1816">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3"/>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1816">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43"/>
      <c r="Q20" s="1815"/>
      <c r="R20" s="775"/>
      <c r="S20" s="776"/>
      <c r="T20" s="775"/>
      <c r="U20" s="776"/>
      <c r="V20" s="775"/>
      <c r="W20" s="776"/>
      <c r="X20" s="1818"/>
      <c r="Y20" s="3345"/>
      <c r="Z20" s="1819"/>
      <c r="AA20" s="1816">
        <v>1</v>
      </c>
      <c r="AB20" s="1816">
        <v>1</v>
      </c>
      <c r="AC20" s="1816">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43"/>
      <c r="Q22" s="1815"/>
      <c r="R22" s="775"/>
      <c r="S22" s="776"/>
      <c r="T22" s="775"/>
      <c r="U22" s="776"/>
      <c r="V22" s="775"/>
      <c r="W22" s="776"/>
      <c r="X22" s="1818"/>
      <c r="Y22" s="3345"/>
      <c r="Z22" s="1819"/>
      <c r="AA22" s="1816">
        <v>1</v>
      </c>
      <c r="AB22" s="1816">
        <v>1</v>
      </c>
      <c r="AC22" s="1816">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3"/>
      <c r="Q23" s="1815" t="str">
        <f>B23</f>
        <v>自然及人文环境</v>
      </c>
      <c r="R23" s="775" t="s">
        <v>17</v>
      </c>
      <c r="S23" s="776">
        <f>F23</f>
        <v>100</v>
      </c>
      <c r="T23" s="775" t="s">
        <v>17</v>
      </c>
      <c r="U23" s="776">
        <f>H23</f>
        <v>100</v>
      </c>
      <c r="V23" s="775" t="s">
        <v>17</v>
      </c>
      <c r="W23" s="776">
        <f>J23</f>
        <v>100</v>
      </c>
      <c r="X23" s="1818"/>
      <c r="Y23" s="3345"/>
      <c r="Z23" s="1819" t="str">
        <f>Q23</f>
        <v>自然及人文环境</v>
      </c>
      <c r="AA23" s="1816">
        <f t="shared" si="3"/>
        <v>1</v>
      </c>
      <c r="AB23" s="1816">
        <f t="shared" si="4"/>
        <v>1</v>
      </c>
      <c r="AC23" s="1816">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43"/>
      <c r="Q24" s="1815"/>
      <c r="R24" s="775"/>
      <c r="S24" s="776"/>
      <c r="T24" s="775"/>
      <c r="U24" s="776"/>
      <c r="V24" s="775"/>
      <c r="W24" s="776"/>
      <c r="X24" s="1818"/>
      <c r="Y24" s="3345"/>
      <c r="Z24" s="1819"/>
      <c r="AA24" s="1816">
        <v>1</v>
      </c>
      <c r="AB24" s="1816">
        <v>1</v>
      </c>
      <c r="AC24" s="1816">
        <v>1</v>
      </c>
    </row>
    <row r="25" spans="1:29" ht="15">
      <c r="A25" s="429"/>
      <c r="B25" s="423" t="s">
        <v>2657</v>
      </c>
      <c r="C25" s="617" t="s">
        <v>3505</v>
      </c>
      <c r="D25" s="436">
        <v>100</v>
      </c>
      <c r="E25" s="617" t="s">
        <v>3505</v>
      </c>
      <c r="F25" s="462">
        <f>SUMIF(86:86,E25,87:87)-SUMIF(86:86,C25,87:87)+100</f>
        <v>100</v>
      </c>
      <c r="G25" s="617" t="s">
        <v>3509</v>
      </c>
      <c r="H25" s="436">
        <f>SUMIF(86:86,G25,87:87)-SUMIF(86:86,C25,87:87)+100</f>
        <v>96</v>
      </c>
      <c r="I25" s="617" t="s">
        <v>3507</v>
      </c>
      <c r="J25" s="436">
        <f>SUMIF(86:86,I25,87:87)-SUMIF(86:86,C25,87:87)+100</f>
        <v>98</v>
      </c>
      <c r="K25" s="613">
        <v>2</v>
      </c>
      <c r="L25" s="1144"/>
      <c r="M25" s="1135"/>
      <c r="N25" s="1135"/>
      <c r="O25" s="1135"/>
      <c r="P25" s="3343"/>
      <c r="Q25" s="1815" t="str">
        <f t="shared" ref="Q25:Q46" si="11">B25</f>
        <v>临街状况</v>
      </c>
      <c r="R25" s="775" t="s">
        <v>17</v>
      </c>
      <c r="S25" s="776">
        <f>F25</f>
        <v>100</v>
      </c>
      <c r="T25" s="775" t="s">
        <v>17</v>
      </c>
      <c r="U25" s="776">
        <f>H25</f>
        <v>96</v>
      </c>
      <c r="V25" s="775" t="s">
        <v>17</v>
      </c>
      <c r="W25" s="776">
        <f>J25</f>
        <v>98</v>
      </c>
      <c r="X25" s="1818"/>
      <c r="Y25" s="3345"/>
      <c r="Z25" s="1819" t="str">
        <f>Q25</f>
        <v>临街状况</v>
      </c>
      <c r="AA25" s="1816">
        <f t="shared" si="3"/>
        <v>1</v>
      </c>
      <c r="AB25" s="1816">
        <f t="shared" si="4"/>
        <v>1.0416666666666667</v>
      </c>
      <c r="AC25" s="1816">
        <f t="shared" si="5"/>
        <v>1.0204081632653061</v>
      </c>
    </row>
    <row r="26" spans="1:29" ht="15">
      <c r="A26" s="429"/>
      <c r="B26" s="1390" t="s">
        <v>2658</v>
      </c>
      <c r="C26" s="3017" t="s">
        <v>3517</v>
      </c>
      <c r="D26" s="436">
        <v>100</v>
      </c>
      <c r="E26" s="3017" t="s">
        <v>3514</v>
      </c>
      <c r="F26" s="462">
        <f>SUMIF(88:88,E26,89:89)-SUMIF(88:88,C26,89:89)+100</f>
        <v>98</v>
      </c>
      <c r="G26" s="3017" t="s">
        <v>3514</v>
      </c>
      <c r="H26" s="436">
        <f>SUMIF(88:88,G26,89:89)-SUMIF(88:88,C26,89:89)+100</f>
        <v>98</v>
      </c>
      <c r="I26" s="3017" t="s">
        <v>3559</v>
      </c>
      <c r="J26" s="436">
        <f>SUMIF(88:88,I26,89:89)-SUMIF(88:88,C26,89:89)+100</f>
        <v>98</v>
      </c>
      <c r="K26" s="614"/>
      <c r="L26" s="1144"/>
      <c r="M26" s="1135"/>
      <c r="N26" s="1135"/>
      <c r="O26" s="1135"/>
      <c r="P26" s="3343"/>
      <c r="Q26" s="1815" t="str">
        <f t="shared" si="11"/>
        <v>平面位置/可视性</v>
      </c>
      <c r="R26" s="775" t="s">
        <v>17</v>
      </c>
      <c r="S26" s="776">
        <f>F26</f>
        <v>98</v>
      </c>
      <c r="T26" s="775" t="s">
        <v>17</v>
      </c>
      <c r="U26" s="776">
        <f>H26</f>
        <v>98</v>
      </c>
      <c r="V26" s="775" t="s">
        <v>17</v>
      </c>
      <c r="W26" s="776">
        <f>J26</f>
        <v>98</v>
      </c>
      <c r="X26" s="1818"/>
      <c r="Y26" s="3345"/>
      <c r="Z26" s="1819" t="str">
        <f>Q26</f>
        <v>平面位置/可视性</v>
      </c>
      <c r="AA26" s="1816">
        <f t="shared" si="3"/>
        <v>1.0204081632653061</v>
      </c>
      <c r="AB26" s="1816">
        <f t="shared" si="4"/>
        <v>1.0204081632653061</v>
      </c>
      <c r="AC26" s="1816">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43"/>
      <c r="Q27" s="1800" t="str">
        <f t="shared" si="11"/>
        <v>人流量</v>
      </c>
      <c r="R27" s="771" t="s">
        <v>17</v>
      </c>
      <c r="S27" s="772">
        <f>F27</f>
        <v>98</v>
      </c>
      <c r="T27" s="771" t="s">
        <v>17</v>
      </c>
      <c r="U27" s="772">
        <f>H27</f>
        <v>98</v>
      </c>
      <c r="V27" s="771" t="s">
        <v>17</v>
      </c>
      <c r="W27" s="772">
        <f>J27</f>
        <v>98</v>
      </c>
      <c r="X27" s="773"/>
      <c r="Y27" s="3345"/>
      <c r="Z27" s="55" t="str">
        <f>Q27</f>
        <v>人流量</v>
      </c>
      <c r="AA27" s="1816">
        <f>D27/F27</f>
        <v>1.0204081632653061</v>
      </c>
      <c r="AB27" s="1816">
        <f>D27/H27</f>
        <v>1.0204081632653061</v>
      </c>
      <c r="AC27" s="1816">
        <f>D27/J27</f>
        <v>1.0204081632653061</v>
      </c>
    </row>
    <row r="28" spans="1:29" ht="15">
      <c r="A28" s="429"/>
      <c r="B28" s="423"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43"/>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45"/>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3"/>
      <c r="Q29" s="1815">
        <f t="shared" si="11"/>
        <v>111</v>
      </c>
      <c r="R29" s="775" t="s">
        <v>17</v>
      </c>
      <c r="S29" s="776">
        <f t="shared" si="12"/>
        <v>100</v>
      </c>
      <c r="T29" s="775" t="s">
        <v>17</v>
      </c>
      <c r="U29" s="776">
        <f t="shared" si="13"/>
        <v>100</v>
      </c>
      <c r="V29" s="775" t="s">
        <v>17</v>
      </c>
      <c r="W29" s="776">
        <f t="shared" si="14"/>
        <v>100</v>
      </c>
      <c r="X29" s="1818"/>
      <c r="Y29" s="3345"/>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3"/>
      <c r="Q30" s="1815">
        <f t="shared" si="11"/>
        <v>111</v>
      </c>
      <c r="R30" s="775" t="s">
        <v>17</v>
      </c>
      <c r="S30" s="776">
        <f t="shared" si="12"/>
        <v>100</v>
      </c>
      <c r="T30" s="775" t="s">
        <v>17</v>
      </c>
      <c r="U30" s="776">
        <f t="shared" si="13"/>
        <v>100</v>
      </c>
      <c r="V30" s="775" t="s">
        <v>17</v>
      </c>
      <c r="W30" s="776">
        <f t="shared" si="14"/>
        <v>100</v>
      </c>
      <c r="X30" s="1818"/>
      <c r="Y30" s="3345"/>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3"/>
      <c r="Q31" s="1815">
        <f t="shared" si="11"/>
        <v>111</v>
      </c>
      <c r="R31" s="775" t="s">
        <v>17</v>
      </c>
      <c r="S31" s="776">
        <f t="shared" si="12"/>
        <v>100</v>
      </c>
      <c r="T31" s="775" t="s">
        <v>17</v>
      </c>
      <c r="U31" s="776">
        <f t="shared" si="13"/>
        <v>100</v>
      </c>
      <c r="V31" s="775" t="s">
        <v>17</v>
      </c>
      <c r="W31" s="776">
        <f t="shared" si="14"/>
        <v>100</v>
      </c>
      <c r="X31" s="1818"/>
      <c r="Y31" s="3345"/>
      <c r="Z31" s="1819">
        <f t="shared" si="15"/>
        <v>111</v>
      </c>
      <c r="AA31" s="1816">
        <f t="shared" si="3"/>
        <v>1</v>
      </c>
      <c r="AB31" s="1816">
        <f t="shared" si="4"/>
        <v>1</v>
      </c>
      <c r="AC31" s="1816">
        <f t="shared" si="5"/>
        <v>1</v>
      </c>
    </row>
    <row r="32" spans="1:29" ht="15">
      <c r="A32" s="441" t="s">
        <v>2564</v>
      </c>
      <c r="B32" s="71" t="s">
        <v>2661</v>
      </c>
      <c r="C32" s="2621" t="s">
        <v>3528</v>
      </c>
      <c r="D32" s="468">
        <v>100</v>
      </c>
      <c r="E32" s="2621" t="s">
        <v>3526</v>
      </c>
      <c r="F32" s="462">
        <f>SUMIF(100:100,E32,101:101)-SUMIF(100:100,C32,101:101)+100</f>
        <v>94</v>
      </c>
      <c r="G32" s="2621" t="s">
        <v>3526</v>
      </c>
      <c r="H32" s="436">
        <f>SUMIF(100:100,G32,101:101)-SUMIF(100:100,C32,101:101)+100</f>
        <v>94</v>
      </c>
      <c r="I32" s="2621" t="s">
        <v>3526</v>
      </c>
      <c r="J32" s="468">
        <f>SUMIF(100:100,I32,101:101)-SUMIF(100:100,C32,101:101)+100</f>
        <v>94</v>
      </c>
      <c r="K32" s="613">
        <v>6</v>
      </c>
      <c r="L32" s="1144"/>
      <c r="M32" s="1135"/>
      <c r="N32" s="1135"/>
      <c r="O32" s="1135"/>
      <c r="P32" s="3346" t="s">
        <v>2566</v>
      </c>
      <c r="Q32" s="1815" t="str">
        <f t="shared" si="11"/>
        <v>商业类型</v>
      </c>
      <c r="R32" s="775" t="s">
        <v>17</v>
      </c>
      <c r="S32" s="776">
        <f t="shared" si="12"/>
        <v>94</v>
      </c>
      <c r="T32" s="775" t="s">
        <v>17</v>
      </c>
      <c r="U32" s="776">
        <f t="shared" si="13"/>
        <v>94</v>
      </c>
      <c r="V32" s="775" t="s">
        <v>17</v>
      </c>
      <c r="W32" s="776">
        <f t="shared" si="14"/>
        <v>94</v>
      </c>
      <c r="X32" s="1818"/>
      <c r="Y32" s="3349" t="s">
        <v>2566</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2567</v>
      </c>
      <c r="C33" s="3079">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47"/>
      <c r="Q33" s="777" t="str">
        <f t="shared" si="11"/>
        <v>项目建筑规模</v>
      </c>
      <c r="R33" s="778" t="s">
        <v>17</v>
      </c>
      <c r="S33" s="779">
        <f t="shared" si="12"/>
        <v>108</v>
      </c>
      <c r="T33" s="778" t="s">
        <v>17</v>
      </c>
      <c r="U33" s="779">
        <f t="shared" si="13"/>
        <v>102</v>
      </c>
      <c r="V33" s="778" t="s">
        <v>17</v>
      </c>
      <c r="W33" s="779">
        <f t="shared" si="14"/>
        <v>106</v>
      </c>
      <c r="X33" s="780"/>
      <c r="Y33" s="3349"/>
      <c r="Z33" s="781" t="str">
        <f t="shared" si="15"/>
        <v>项目建筑规模</v>
      </c>
      <c r="AA33" s="1816">
        <f t="shared" si="3"/>
        <v>0.92592592592592593</v>
      </c>
      <c r="AB33" s="1816">
        <f t="shared" si="4"/>
        <v>0.98039215686274506</v>
      </c>
      <c r="AC33" s="1816">
        <f t="shared" si="5"/>
        <v>0.94339622641509435</v>
      </c>
    </row>
    <row r="34" spans="1:29" ht="15">
      <c r="A34" s="473"/>
      <c r="B34" s="423"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47"/>
      <c r="Q34" s="1815" t="str">
        <f t="shared" si="11"/>
        <v>建筑结构</v>
      </c>
      <c r="R34" s="775" t="s">
        <v>17</v>
      </c>
      <c r="S34" s="776">
        <f t="shared" si="12"/>
        <v>100</v>
      </c>
      <c r="T34" s="775" t="s">
        <v>17</v>
      </c>
      <c r="U34" s="776">
        <f t="shared" si="13"/>
        <v>100</v>
      </c>
      <c r="V34" s="775" t="s">
        <v>17</v>
      </c>
      <c r="W34" s="776">
        <f t="shared" si="14"/>
        <v>100</v>
      </c>
      <c r="X34" s="1818"/>
      <c r="Y34" s="3349"/>
      <c r="Z34" s="1819" t="str">
        <f t="shared" si="15"/>
        <v>建筑结构</v>
      </c>
      <c r="AA34" s="1816">
        <f t="shared" si="3"/>
        <v>1</v>
      </c>
      <c r="AB34" s="1816">
        <f t="shared" si="4"/>
        <v>1</v>
      </c>
      <c r="AC34" s="1816">
        <f t="shared" si="5"/>
        <v>1</v>
      </c>
    </row>
    <row r="35" spans="1:29" ht="15">
      <c r="A35" s="473"/>
      <c r="B35" s="423"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47"/>
      <c r="Q35" s="1815" t="str">
        <f t="shared" si="11"/>
        <v>公共部分装修</v>
      </c>
      <c r="R35" s="775" t="s">
        <v>17</v>
      </c>
      <c r="S35" s="776">
        <f t="shared" si="12"/>
        <v>100</v>
      </c>
      <c r="T35" s="775" t="s">
        <v>17</v>
      </c>
      <c r="U35" s="776">
        <f t="shared" si="13"/>
        <v>100</v>
      </c>
      <c r="V35" s="775" t="s">
        <v>17</v>
      </c>
      <c r="W35" s="776">
        <f t="shared" si="14"/>
        <v>100</v>
      </c>
      <c r="X35" s="1818"/>
      <c r="Y35" s="3349"/>
      <c r="Z35" s="1819" t="str">
        <f t="shared" si="15"/>
        <v>公共部分装修</v>
      </c>
      <c r="AA35" s="1816">
        <f t="shared" si="3"/>
        <v>1</v>
      </c>
      <c r="AB35" s="1816">
        <f t="shared" si="4"/>
        <v>1</v>
      </c>
      <c r="AC35" s="1816">
        <f t="shared" si="5"/>
        <v>1</v>
      </c>
    </row>
    <row r="36" spans="1:29" ht="15">
      <c r="A36" s="473"/>
      <c r="B36" s="423" t="s">
        <v>2663</v>
      </c>
      <c r="C36" s="3093">
        <v>1</v>
      </c>
      <c r="D36" s="436">
        <v>100</v>
      </c>
      <c r="E36" s="475">
        <v>0.8</v>
      </c>
      <c r="F36" s="462">
        <f>LOOKUP(E36,110:110,111:111)-LOOKUP(C36,110:110,111:111)+100</f>
        <v>98</v>
      </c>
      <c r="G36" s="475">
        <v>0.8</v>
      </c>
      <c r="H36" s="462">
        <f>LOOKUP(G36,110:110,111:111)-LOOKUP(C36,110:110,111:111)+100</f>
        <v>98</v>
      </c>
      <c r="I36" s="475">
        <v>0.8</v>
      </c>
      <c r="J36" s="436">
        <f>LOOKUP(I36,110:110,111:111)-LOOKUP(C36,110:110,111:111)+100</f>
        <v>98</v>
      </c>
      <c r="K36" s="613">
        <v>2</v>
      </c>
      <c r="L36" s="1144"/>
      <c r="M36" s="1135"/>
      <c r="N36" s="1135"/>
      <c r="O36" s="1135"/>
      <c r="P36" s="3347"/>
      <c r="Q36" s="1815" t="str">
        <f t="shared" si="11"/>
        <v>成新度</v>
      </c>
      <c r="R36" s="775" t="s">
        <v>17</v>
      </c>
      <c r="S36" s="776">
        <f t="shared" si="12"/>
        <v>98</v>
      </c>
      <c r="T36" s="775" t="s">
        <v>17</v>
      </c>
      <c r="U36" s="776">
        <f t="shared" si="13"/>
        <v>98</v>
      </c>
      <c r="V36" s="775" t="s">
        <v>17</v>
      </c>
      <c r="W36" s="776">
        <f t="shared" si="14"/>
        <v>98</v>
      </c>
      <c r="X36" s="1818"/>
      <c r="Y36" s="3349"/>
      <c r="Z36" s="1819" t="str">
        <f t="shared" si="15"/>
        <v>成新度</v>
      </c>
      <c r="AA36" s="1816">
        <f t="shared" si="3"/>
        <v>1.0204081632653061</v>
      </c>
      <c r="AB36" s="1816">
        <f t="shared" si="4"/>
        <v>1.0204081632653061</v>
      </c>
      <c r="AC36" s="1816">
        <f t="shared" si="5"/>
        <v>1.0204081632653061</v>
      </c>
    </row>
    <row r="37" spans="1:29" s="117" customFormat="1" ht="15">
      <c r="A37" s="474"/>
      <c r="B37" s="423"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47"/>
      <c r="Q37" s="1800" t="str">
        <f t="shared" si="11"/>
        <v>市政基础设施</v>
      </c>
      <c r="R37" s="771" t="s">
        <v>17</v>
      </c>
      <c r="S37" s="772">
        <f t="shared" si="12"/>
        <v>100</v>
      </c>
      <c r="T37" s="771" t="s">
        <v>17</v>
      </c>
      <c r="U37" s="772">
        <f t="shared" si="13"/>
        <v>100</v>
      </c>
      <c r="V37" s="771" t="s">
        <v>17</v>
      </c>
      <c r="W37" s="772">
        <f t="shared" si="14"/>
        <v>100</v>
      </c>
      <c r="X37" s="773"/>
      <c r="Y37" s="3349"/>
      <c r="Z37" s="55" t="str">
        <f t="shared" si="15"/>
        <v>市政基础设施</v>
      </c>
      <c r="AA37" s="774">
        <f t="shared" si="3"/>
        <v>1</v>
      </c>
      <c r="AB37" s="774">
        <f t="shared" si="4"/>
        <v>1</v>
      </c>
      <c r="AC37" s="774">
        <f t="shared" si="5"/>
        <v>1</v>
      </c>
    </row>
    <row r="38" spans="1:29" ht="15">
      <c r="A38" s="473"/>
      <c r="B38" s="423"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47" t="s">
        <v>2566</v>
      </c>
      <c r="Q38" s="1815" t="str">
        <f t="shared" si="11"/>
        <v>业态</v>
      </c>
      <c r="R38" s="775" t="s">
        <v>17</v>
      </c>
      <c r="S38" s="776">
        <f t="shared" si="12"/>
        <v>100</v>
      </c>
      <c r="T38" s="775" t="s">
        <v>17</v>
      </c>
      <c r="U38" s="776">
        <f t="shared" si="13"/>
        <v>100</v>
      </c>
      <c r="V38" s="775" t="s">
        <v>17</v>
      </c>
      <c r="W38" s="776">
        <f t="shared" si="14"/>
        <v>100</v>
      </c>
      <c r="X38" s="1818"/>
      <c r="Y38" s="3349" t="s">
        <v>2566</v>
      </c>
      <c r="Z38" s="1819" t="str">
        <f t="shared" si="15"/>
        <v>业态</v>
      </c>
      <c r="AA38" s="1816">
        <f t="shared" si="3"/>
        <v>1</v>
      </c>
      <c r="AB38" s="1816">
        <f t="shared" si="4"/>
        <v>1</v>
      </c>
      <c r="AC38" s="1816">
        <f t="shared" si="5"/>
        <v>1</v>
      </c>
    </row>
    <row r="39" spans="1:29" ht="15">
      <c r="A39" s="473"/>
      <c r="B39" s="423"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47"/>
      <c r="Q39" s="1815" t="str">
        <f t="shared" si="11"/>
        <v>层高</v>
      </c>
      <c r="R39" s="775" t="s">
        <v>17</v>
      </c>
      <c r="S39" s="776">
        <f t="shared" si="12"/>
        <v>100</v>
      </c>
      <c r="T39" s="775" t="s">
        <v>17</v>
      </c>
      <c r="U39" s="776">
        <f t="shared" si="13"/>
        <v>100</v>
      </c>
      <c r="V39" s="775" t="s">
        <v>17</v>
      </c>
      <c r="W39" s="776">
        <f t="shared" si="14"/>
        <v>100</v>
      </c>
      <c r="X39" s="1818"/>
      <c r="Y39" s="3349"/>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7"/>
      <c r="Q40" s="1815" t="str">
        <f t="shared" si="11"/>
        <v>单套建筑面积</v>
      </c>
      <c r="R40" s="775" t="s">
        <v>17</v>
      </c>
      <c r="S40" s="776">
        <f t="shared" si="12"/>
        <v>100</v>
      </c>
      <c r="T40" s="775" t="s">
        <v>17</v>
      </c>
      <c r="U40" s="776">
        <f t="shared" si="13"/>
        <v>100</v>
      </c>
      <c r="V40" s="775" t="s">
        <v>17</v>
      </c>
      <c r="W40" s="776">
        <f t="shared" si="14"/>
        <v>100</v>
      </c>
      <c r="X40" s="1818"/>
      <c r="Y40" s="3349"/>
      <c r="Z40" s="1819" t="str">
        <f t="shared" si="15"/>
        <v>单套建筑面积</v>
      </c>
      <c r="AA40" s="1816">
        <f t="shared" si="3"/>
        <v>1</v>
      </c>
      <c r="AB40" s="1816">
        <f t="shared" si="4"/>
        <v>1</v>
      </c>
      <c r="AC40" s="1816">
        <f t="shared" si="5"/>
        <v>1</v>
      </c>
    </row>
    <row r="41" spans="1:29" s="472" customFormat="1" ht="15">
      <c r="A41" s="469"/>
      <c r="B41" s="1817"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7"/>
      <c r="Q41" s="777" t="str">
        <f t="shared" si="11"/>
        <v>进深比</v>
      </c>
      <c r="R41" s="778" t="s">
        <v>17</v>
      </c>
      <c r="S41" s="779">
        <f t="shared" si="12"/>
        <v>100</v>
      </c>
      <c r="T41" s="778" t="s">
        <v>17</v>
      </c>
      <c r="U41" s="779">
        <f t="shared" si="13"/>
        <v>100</v>
      </c>
      <c r="V41" s="778" t="s">
        <v>17</v>
      </c>
      <c r="W41" s="779">
        <f t="shared" si="14"/>
        <v>100</v>
      </c>
      <c r="X41" s="780"/>
      <c r="Y41" s="3349"/>
      <c r="Z41" s="781" t="str">
        <f t="shared" si="15"/>
        <v>进深比</v>
      </c>
      <c r="AA41" s="1816">
        <f t="shared" si="3"/>
        <v>1</v>
      </c>
      <c r="AB41" s="1816">
        <f t="shared" si="4"/>
        <v>1</v>
      </c>
      <c r="AC41" s="1816">
        <f t="shared" si="5"/>
        <v>1</v>
      </c>
    </row>
    <row r="42" spans="1:29" ht="15">
      <c r="A42" s="473"/>
      <c r="B42" s="423" t="s">
        <v>2669</v>
      </c>
      <c r="C42" s="2617" t="s">
        <v>3399</v>
      </c>
      <c r="D42" s="436">
        <v>100</v>
      </c>
      <c r="E42" s="2617" t="s">
        <v>3534</v>
      </c>
      <c r="F42" s="462">
        <f>SUMIF(122:122,E42,123:123)-SUMIF(122:122,C42,123:123)+100</f>
        <v>98</v>
      </c>
      <c r="G42" s="2617" t="s">
        <v>3534</v>
      </c>
      <c r="H42" s="436">
        <f>SUMIF(122:122,G42,123:123)-SUMIF(122:122,C42,123:123)+100</f>
        <v>98</v>
      </c>
      <c r="I42" s="2617" t="s">
        <v>3397</v>
      </c>
      <c r="J42" s="436">
        <f>SUMIF(122:122,I42,123:123)-SUMIF(122:122,C42,123:123)+100</f>
        <v>102</v>
      </c>
      <c r="K42" s="613">
        <v>2</v>
      </c>
      <c r="L42" s="1144"/>
      <c r="M42" s="1135"/>
      <c r="N42" s="1135"/>
      <c r="O42" s="1135"/>
      <c r="P42" s="3347"/>
      <c r="Q42" s="1815" t="str">
        <f t="shared" si="11"/>
        <v>内部装修</v>
      </c>
      <c r="R42" s="775" t="s">
        <v>17</v>
      </c>
      <c r="S42" s="776">
        <f t="shared" si="12"/>
        <v>98</v>
      </c>
      <c r="T42" s="775" t="s">
        <v>17</v>
      </c>
      <c r="U42" s="776">
        <f t="shared" si="13"/>
        <v>98</v>
      </c>
      <c r="V42" s="775" t="s">
        <v>17</v>
      </c>
      <c r="W42" s="776">
        <f t="shared" si="14"/>
        <v>102</v>
      </c>
      <c r="X42" s="1818"/>
      <c r="Y42" s="3349"/>
      <c r="Z42" s="1819" t="str">
        <f t="shared" si="15"/>
        <v>内部装修</v>
      </c>
      <c r="AA42" s="1816">
        <f t="shared" si="3"/>
        <v>1.0204081632653061</v>
      </c>
      <c r="AB42" s="1816">
        <f t="shared" si="4"/>
        <v>1.0204081632653061</v>
      </c>
      <c r="AC42" s="1816">
        <f t="shared" si="5"/>
        <v>0.98039215686274506</v>
      </c>
    </row>
    <row r="43" spans="1:29" ht="15">
      <c r="A43" s="473"/>
      <c r="B43" s="423"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47"/>
      <c r="Q43" s="1815" t="str">
        <f t="shared" si="11"/>
        <v>内部装修维护情况</v>
      </c>
      <c r="R43" s="775" t="s">
        <v>17</v>
      </c>
      <c r="S43" s="776">
        <f t="shared" si="12"/>
        <v>100</v>
      </c>
      <c r="T43" s="775" t="s">
        <v>17</v>
      </c>
      <c r="U43" s="776">
        <f t="shared" si="13"/>
        <v>100</v>
      </c>
      <c r="V43" s="775" t="s">
        <v>17</v>
      </c>
      <c r="W43" s="776">
        <f t="shared" si="14"/>
        <v>100</v>
      </c>
      <c r="X43" s="1818"/>
      <c r="Y43" s="3349"/>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7"/>
      <c r="Q44" s="1800">
        <f t="shared" si="11"/>
        <v>111</v>
      </c>
      <c r="R44" s="771" t="s">
        <v>17</v>
      </c>
      <c r="S44" s="772">
        <f t="shared" si="12"/>
        <v>100</v>
      </c>
      <c r="T44" s="771" t="s">
        <v>17</v>
      </c>
      <c r="U44" s="772">
        <f t="shared" si="13"/>
        <v>100</v>
      </c>
      <c r="V44" s="771" t="s">
        <v>17</v>
      </c>
      <c r="W44" s="772">
        <f t="shared" si="14"/>
        <v>100</v>
      </c>
      <c r="X44" s="773"/>
      <c r="Y44" s="3349"/>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7"/>
      <c r="Q45" s="1815">
        <f t="shared" si="11"/>
        <v>111</v>
      </c>
      <c r="R45" s="775" t="s">
        <v>17</v>
      </c>
      <c r="S45" s="776">
        <f t="shared" si="12"/>
        <v>100</v>
      </c>
      <c r="T45" s="775" t="s">
        <v>17</v>
      </c>
      <c r="U45" s="776">
        <f t="shared" si="13"/>
        <v>100</v>
      </c>
      <c r="V45" s="775" t="s">
        <v>17</v>
      </c>
      <c r="W45" s="776">
        <f t="shared" si="14"/>
        <v>100</v>
      </c>
      <c r="X45" s="1818"/>
      <c r="Y45" s="3349"/>
      <c r="Z45" s="1819">
        <f t="shared" si="15"/>
        <v>111</v>
      </c>
      <c r="AA45" s="1816">
        <f t="shared" si="3"/>
        <v>1</v>
      </c>
      <c r="AB45" s="1816">
        <f t="shared" si="4"/>
        <v>1</v>
      </c>
      <c r="AC45" s="1816">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48"/>
      <c r="Q46" s="1815">
        <f t="shared" si="11"/>
        <v>111</v>
      </c>
      <c r="R46" s="775" t="s">
        <v>17</v>
      </c>
      <c r="S46" s="776">
        <f t="shared" si="12"/>
        <v>100</v>
      </c>
      <c r="T46" s="775" t="s">
        <v>17</v>
      </c>
      <c r="U46" s="776">
        <f t="shared" si="13"/>
        <v>100</v>
      </c>
      <c r="V46" s="775" t="s">
        <v>17</v>
      </c>
      <c r="W46" s="776">
        <f t="shared" si="14"/>
        <v>100</v>
      </c>
      <c r="X46" s="1818"/>
      <c r="Y46" s="3350"/>
      <c r="Z46" s="1819">
        <f t="shared" si="15"/>
        <v>111</v>
      </c>
      <c r="AA46" s="1816">
        <f t="shared" si="3"/>
        <v>1</v>
      </c>
      <c r="AB46" s="1816">
        <f t="shared" si="4"/>
        <v>1</v>
      </c>
      <c r="AC46" s="1816">
        <f t="shared" si="5"/>
        <v>1</v>
      </c>
    </row>
    <row r="47" spans="1:29" ht="15">
      <c r="A47" s="480" t="s">
        <v>2578</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51" t="str">
        <f>A47</f>
        <v>成交单价（元/平方米）</v>
      </c>
      <c r="Q47" s="3351"/>
      <c r="R47" s="3339">
        <f>E47</f>
        <v>98010</v>
      </c>
      <c r="S47" s="3339"/>
      <c r="T47" s="3339">
        <f>G47</f>
        <v>99000</v>
      </c>
      <c r="U47" s="3339"/>
      <c r="V47" s="3339">
        <f>I47</f>
        <v>108900</v>
      </c>
      <c r="W47" s="3339"/>
      <c r="X47" s="760"/>
      <c r="Y47" s="782"/>
      <c r="Z47" s="760"/>
      <c r="AA47" s="760"/>
      <c r="AB47" s="760"/>
      <c r="AC47" s="760"/>
    </row>
    <row r="48" spans="1:29" ht="15.75" thickBot="1">
      <c r="A48" s="487" t="s">
        <v>2670</v>
      </c>
      <c r="B48" s="488"/>
      <c r="C48" s="1417">
        <f>R49</f>
        <v>113227</v>
      </c>
      <c r="D48" s="1418"/>
      <c r="E48" s="1419">
        <f>R48</f>
        <v>105725</v>
      </c>
      <c r="F48" s="1419"/>
      <c r="G48" s="1417">
        <f>T48</f>
        <v>117787</v>
      </c>
      <c r="H48" s="1418"/>
      <c r="I48" s="1419">
        <f>V48</f>
        <v>116169</v>
      </c>
      <c r="J48" s="1418"/>
      <c r="K48" s="785"/>
      <c r="L48" s="1147"/>
      <c r="M48" s="1148"/>
      <c r="N48" s="1135"/>
      <c r="O48" s="1148"/>
      <c r="P48" s="3351" t="str">
        <f>A48</f>
        <v>比较价值（元/平方米）</v>
      </c>
      <c r="Q48" s="3351"/>
      <c r="R48" s="3352">
        <f>IF(F1="售价",ROUND(PRODUCT(R47,AA7:AA46),0),ROUND(PRODUCT(R47,AA7:AA46),1))</f>
        <v>105725</v>
      </c>
      <c r="S48" s="3352"/>
      <c r="T48" s="3352">
        <f>IF(F1="售价",ROUND(PRODUCT(T47,AB7:AB46),0),ROUND(PRODUCT(T47,AB7:AB46),1))</f>
        <v>117787</v>
      </c>
      <c r="U48" s="3352"/>
      <c r="V48" s="3352">
        <f>IF(F1="售价",ROUND(PRODUCT(V47,AC7:AC46),0),ROUND(PRODUCT(V47,AC7:AC46),1))</f>
        <v>116169</v>
      </c>
      <c r="W48" s="3352"/>
      <c r="X48" s="760"/>
      <c r="Y48" s="760"/>
      <c r="Z48" s="760"/>
      <c r="AA48" s="760"/>
      <c r="AB48" s="760"/>
      <c r="AC48" s="760"/>
    </row>
    <row r="49" spans="1:29" ht="15.75" thickBot="1">
      <c r="A49" s="493" t="s">
        <v>2671</v>
      </c>
      <c r="B49" s="494"/>
      <c r="C49" s="1421">
        <f>R49</f>
        <v>113227</v>
      </c>
      <c r="D49" s="1421"/>
      <c r="E49" s="1421"/>
      <c r="F49" s="1421"/>
      <c r="G49" s="1421"/>
      <c r="H49" s="1421"/>
      <c r="I49" s="1421"/>
      <c r="J49" s="1421"/>
      <c r="K49" s="786"/>
      <c r="L49" s="1147"/>
      <c r="M49" s="1148"/>
      <c r="N49" s="1135"/>
      <c r="O49" s="1148"/>
      <c r="P49" s="3376" t="str">
        <f>A49</f>
        <v>估价对象XX用房的比较价值（楼面单价，元/平方米）</v>
      </c>
      <c r="Q49" s="3377"/>
      <c r="R49" s="3378">
        <f>IF(F1="售价",ROUND(AVERAGE(R48:V48),0),ROUND(AVERAGE(R48:V48),1))</f>
        <v>113227</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7.8716457504336201E-2</v>
      </c>
      <c r="F52" s="501" t="str">
        <f>IF(OR(E52&gt;=0.3,E52&lt;=-0.3),"超过30%","")</f>
        <v/>
      </c>
      <c r="G52" s="500">
        <f>IF(G47&lt;G48,G48/G47-1,G47/G48-1)</f>
        <v>0.18976767676767681</v>
      </c>
      <c r="H52" s="501" t="str">
        <f>IF(OR(G52&gt;=0.3,G52&lt;=-0.3),"超过30%","")</f>
        <v/>
      </c>
      <c r="I52" s="500">
        <f>IF(I47&lt;I48,I48/I47-1,I47/I48-1)</f>
        <v>6.6749311294765912E-2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0.11408843698273818</v>
      </c>
      <c r="F53" s="501" t="str">
        <f>IF(OR(E53&gt;=0.2,E53&lt;=-0.2),"超过20%","")</f>
        <v/>
      </c>
      <c r="G53" s="500">
        <f>IF(G48&lt;I48,I48/G48-1,G48/I48-1)</f>
        <v>1.392798422987207E-2</v>
      </c>
      <c r="H53" s="501" t="str">
        <f>IF(OR(G53&gt;=0.2,G53&lt;=-0.2),"超过20%","")</f>
        <v/>
      </c>
      <c r="I53" s="500">
        <f>IF(I48&lt;E48,E48/I48-1,I48/E48-1)</f>
        <v>9.8784582643651087E-2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3094">
        <v>75</v>
      </c>
      <c r="E93" s="3094">
        <v>65</v>
      </c>
      <c r="F93" s="3094">
        <v>65</v>
      </c>
      <c r="G93" s="3094">
        <v>55</v>
      </c>
      <c r="H93" s="3094">
        <v>50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c r="A100" s="528" t="s">
        <v>2564</v>
      </c>
      <c r="B100" s="529" t="s">
        <v>2682</v>
      </c>
      <c r="C100" s="3014" t="s">
        <v>3524</v>
      </c>
      <c r="D100" s="3014" t="s">
        <v>3525</v>
      </c>
      <c r="E100" s="3014" t="s">
        <v>3610</v>
      </c>
      <c r="F100" s="3014" t="s">
        <v>3609</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4">
        <v>75</v>
      </c>
      <c r="E18" s="3094">
        <v>65</v>
      </c>
      <c r="F18" s="3094">
        <v>65</v>
      </c>
      <c r="G18" s="3094">
        <v>50</v>
      </c>
      <c r="H18" s="3094">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f>IF(D20="——",S22,S22-F20)</f>
        <v>155794</v>
      </c>
      <c r="C20" s="169"/>
      <c r="D20" s="2923" t="s">
        <v>70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69600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22384.17</v>
      </c>
      <c r="C22" s="3197" t="s">
        <v>33</v>
      </c>
      <c r="D22" s="3198"/>
      <c r="E22" s="3198"/>
      <c r="F22" s="3198"/>
      <c r="G22" s="3198"/>
      <c r="H22" s="3198"/>
      <c r="I22" s="3198"/>
      <c r="J22" s="3198"/>
      <c r="K22" s="3198"/>
      <c r="L22" s="3198"/>
      <c r="M22" s="3198"/>
      <c r="N22" s="3198"/>
      <c r="O22" s="3198"/>
      <c r="P22" s="3198"/>
      <c r="Q22" s="3358"/>
      <c r="R22" s="717">
        <f>ROUND(S22*10000/B22,0)</f>
        <v>69600</v>
      </c>
      <c r="S22" s="24">
        <f>SUM(S24:S10000)</f>
        <v>155794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'比较法-商业'!C49</f>
        <v>113227</v>
      </c>
      <c r="S24" s="720">
        <f t="shared" ref="S24:S87" si="5">ROUND(R24*B24/10000,0)</f>
        <v>15602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4">
        <f>面积!B38</f>
        <v>101</v>
      </c>
      <c r="B25" s="59">
        <f>面积!C38</f>
        <v>2894.59</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3562</v>
      </c>
      <c r="Q25" s="24">
        <f>(SUMIF($17:$17,P25,$18:$18)-SUMIF($17:$17,$P$24,$18:$18)+100)/100</f>
        <v>1</v>
      </c>
      <c r="R25" s="717">
        <f>IF(B25="",0,ROUND($R$24*C25*E25*G25*I25*K25*M25*O25*Q25,0))</f>
        <v>113227</v>
      </c>
      <c r="S25" s="362">
        <f t="shared" si="5"/>
        <v>32775</v>
      </c>
    </row>
    <row r="26" spans="1:45">
      <c r="A26" s="160">
        <f>面积!B40</f>
        <v>2</v>
      </c>
      <c r="B26" s="59">
        <f>面积!C40</f>
        <v>4505.8599999999997</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3577</v>
      </c>
      <c r="Q26" s="24">
        <f t="shared" ref="Q26:Q89" si="13">(SUMIF($17:$17,P26,$18:$18)-SUMIF($17:$17,$P$24,$18:$18)+100)/100</f>
        <v>0.75</v>
      </c>
      <c r="R26" s="717">
        <f t="shared" ref="R26:R89" si="14">IF(B26="",0,ROUND($R$24*C26*E26*G26*I26*K26*M26*O26*Q26,0))</f>
        <v>84920</v>
      </c>
      <c r="S26" s="362">
        <f t="shared" si="5"/>
        <v>38264</v>
      </c>
    </row>
    <row r="27" spans="1:45">
      <c r="A27" s="160">
        <f>面积!B36</f>
        <v>-101</v>
      </c>
      <c r="B27" s="59">
        <f>面积!C36</f>
        <v>6650.82</v>
      </c>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t="s">
        <v>3578</v>
      </c>
      <c r="Q27" s="24">
        <f t="shared" si="13"/>
        <v>0.5</v>
      </c>
      <c r="R27" s="717">
        <f t="shared" si="14"/>
        <v>56614</v>
      </c>
      <c r="S27" s="362">
        <f t="shared" si="5"/>
        <v>37653</v>
      </c>
    </row>
    <row r="28" spans="1:45">
      <c r="A28" s="160">
        <f>面积!B34</f>
        <v>-201</v>
      </c>
      <c r="B28" s="59">
        <f>面积!C34</f>
        <v>6954.92</v>
      </c>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t="s">
        <v>3579</v>
      </c>
      <c r="Q28" s="24">
        <f t="shared" si="13"/>
        <v>0.4</v>
      </c>
      <c r="R28" s="717">
        <f t="shared" si="14"/>
        <v>45291</v>
      </c>
      <c r="S28" s="362">
        <f t="shared" si="5"/>
        <v>31500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L52" sqref="L52"/>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3375</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10.8</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3030"/>
      <c r="Y4" s="3370" t="s">
        <v>2652</v>
      </c>
      <c r="Z4" s="3371"/>
      <c r="AA4" s="3369" t="s">
        <v>2648</v>
      </c>
      <c r="AB4" s="3339" t="s">
        <v>2649</v>
      </c>
      <c r="AC4" s="3369" t="s">
        <v>2650</v>
      </c>
    </row>
    <row r="5" spans="1:29" ht="15">
      <c r="A5" s="405"/>
      <c r="B5" s="406"/>
      <c r="C5" s="3356" t="s">
        <v>3554</v>
      </c>
      <c r="D5" s="3317"/>
      <c r="E5" s="3357" t="s">
        <v>3567</v>
      </c>
      <c r="F5" s="3315"/>
      <c r="G5" s="3356" t="s">
        <v>3555</v>
      </c>
      <c r="H5" s="3317"/>
      <c r="I5" s="3356" t="s">
        <v>3568</v>
      </c>
      <c r="J5" s="3317"/>
      <c r="K5" s="611"/>
      <c r="L5" s="1134"/>
      <c r="M5" s="1135"/>
      <c r="N5" s="1135"/>
      <c r="O5" s="1135"/>
      <c r="P5" s="3374"/>
      <c r="Q5" s="3333"/>
      <c r="R5" s="3312"/>
      <c r="S5" s="3313"/>
      <c r="T5" s="3312"/>
      <c r="U5" s="3313"/>
      <c r="V5" s="3339"/>
      <c r="W5" s="3339"/>
      <c r="X5" s="3030"/>
      <c r="Y5" s="3312"/>
      <c r="Z5" s="3313"/>
      <c r="AA5" s="3306"/>
      <c r="AB5" s="3339"/>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3030"/>
      <c r="Y6" s="3336"/>
      <c r="Z6" s="3337"/>
      <c r="AA6" s="3307"/>
      <c r="AB6" s="3339"/>
      <c r="AC6" s="3307"/>
    </row>
    <row r="7" spans="1:29" s="117" customFormat="1" ht="15.75" thickBot="1">
      <c r="A7" s="409" t="s">
        <v>2549</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08" t="s">
        <v>2550</v>
      </c>
      <c r="Q7" s="3341"/>
      <c r="R7" s="771" t="s">
        <v>17</v>
      </c>
      <c r="S7" s="772">
        <f t="shared" ref="S7:S15" si="0">F7</f>
        <v>100</v>
      </c>
      <c r="T7" s="771" t="s">
        <v>17</v>
      </c>
      <c r="U7" s="772">
        <f t="shared" ref="U7:U15" si="1">H7</f>
        <v>100</v>
      </c>
      <c r="V7" s="771" t="s">
        <v>17</v>
      </c>
      <c r="W7" s="772">
        <f t="shared" ref="W7:W15" si="2">J7</f>
        <v>100</v>
      </c>
      <c r="X7" s="773"/>
      <c r="Y7" s="3308" t="s">
        <v>2550</v>
      </c>
      <c r="Z7" s="3309"/>
      <c r="AA7" s="774">
        <f>D7/F7</f>
        <v>1</v>
      </c>
      <c r="AB7" s="774">
        <f>D7/H7</f>
        <v>1</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08" t="s">
        <v>2553</v>
      </c>
      <c r="Q8" s="3309"/>
      <c r="R8" s="771" t="s">
        <v>17</v>
      </c>
      <c r="S8" s="772">
        <f t="shared" si="0"/>
        <v>100</v>
      </c>
      <c r="T8" s="771" t="s">
        <v>17</v>
      </c>
      <c r="U8" s="772">
        <f t="shared" si="1"/>
        <v>100</v>
      </c>
      <c r="V8" s="771" t="s">
        <v>17</v>
      </c>
      <c r="W8" s="772">
        <f t="shared" si="2"/>
        <v>100</v>
      </c>
      <c r="X8" s="773"/>
      <c r="Y8" s="3308" t="s">
        <v>2553</v>
      </c>
      <c r="Z8" s="3309"/>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2" t="s">
        <v>2556</v>
      </c>
      <c r="Q9" s="3023" t="str">
        <f t="shared" ref="Q9:Q15" si="6">B9</f>
        <v>用途</v>
      </c>
      <c r="R9" s="771" t="s">
        <v>17</v>
      </c>
      <c r="S9" s="772">
        <f t="shared" si="0"/>
        <v>100</v>
      </c>
      <c r="T9" s="771" t="s">
        <v>17</v>
      </c>
      <c r="U9" s="772">
        <f t="shared" si="1"/>
        <v>100</v>
      </c>
      <c r="V9" s="771" t="s">
        <v>17</v>
      </c>
      <c r="W9" s="772">
        <f t="shared" si="2"/>
        <v>100</v>
      </c>
      <c r="X9" s="773"/>
      <c r="Y9" s="3162" t="s">
        <v>2557</v>
      </c>
      <c r="Z9" s="3024" t="str">
        <f t="shared" ref="Z9:Z15" si="7">Q9</f>
        <v>用途</v>
      </c>
      <c r="AA9" s="774">
        <f t="shared" si="3"/>
        <v>1</v>
      </c>
      <c r="AB9" s="774">
        <f t="shared" si="4"/>
        <v>1</v>
      </c>
      <c r="AC9" s="774">
        <f t="shared" si="5"/>
        <v>1</v>
      </c>
    </row>
    <row r="10" spans="1:29" s="428" customFormat="1" ht="27">
      <c r="A10" s="422"/>
      <c r="B10" s="3025"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2"/>
      <c r="Q10" s="3023" t="str">
        <f t="shared" si="6"/>
        <v>土地使用年限（年）</v>
      </c>
      <c r="R10" s="771" t="s">
        <v>17</v>
      </c>
      <c r="S10" s="772">
        <f t="shared" si="0"/>
        <v>100</v>
      </c>
      <c r="T10" s="771" t="s">
        <v>17</v>
      </c>
      <c r="U10" s="772">
        <f t="shared" si="1"/>
        <v>100</v>
      </c>
      <c r="V10" s="771" t="s">
        <v>17</v>
      </c>
      <c r="W10" s="772">
        <f t="shared" si="2"/>
        <v>100</v>
      </c>
      <c r="X10" s="773"/>
      <c r="Y10" s="3162"/>
      <c r="Z10" s="3024" t="str">
        <f t="shared" si="7"/>
        <v>土地使用年限（年）</v>
      </c>
      <c r="AA10" s="774">
        <f t="shared" si="3"/>
        <v>1</v>
      </c>
      <c r="AB10" s="774">
        <f t="shared" si="4"/>
        <v>1</v>
      </c>
      <c r="AC10" s="774">
        <f t="shared" si="5"/>
        <v>1</v>
      </c>
    </row>
    <row r="11" spans="1:29" ht="15">
      <c r="A11" s="429"/>
      <c r="B11" s="3025"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2"/>
      <c r="Q11" s="3023" t="str">
        <f t="shared" si="6"/>
        <v>容积率</v>
      </c>
      <c r="R11" s="771" t="s">
        <v>17</v>
      </c>
      <c r="S11" s="772">
        <f t="shared" si="0"/>
        <v>100</v>
      </c>
      <c r="T11" s="771" t="s">
        <v>17</v>
      </c>
      <c r="U11" s="772">
        <f t="shared" si="1"/>
        <v>100</v>
      </c>
      <c r="V11" s="771" t="s">
        <v>17</v>
      </c>
      <c r="W11" s="772">
        <f t="shared" si="2"/>
        <v>100</v>
      </c>
      <c r="X11" s="773"/>
      <c r="Y11" s="3162"/>
      <c r="Z11" s="3024"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2"/>
      <c r="Q12" s="3023">
        <f t="shared" si="6"/>
        <v>111</v>
      </c>
      <c r="R12" s="771" t="s">
        <v>17</v>
      </c>
      <c r="S12" s="772">
        <f t="shared" si="0"/>
        <v>100</v>
      </c>
      <c r="T12" s="771" t="s">
        <v>17</v>
      </c>
      <c r="U12" s="772">
        <f t="shared" si="1"/>
        <v>100</v>
      </c>
      <c r="V12" s="771" t="s">
        <v>17</v>
      </c>
      <c r="W12" s="772">
        <f t="shared" si="2"/>
        <v>100</v>
      </c>
      <c r="X12" s="773"/>
      <c r="Y12" s="3162"/>
      <c r="Z12" s="3024">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2"/>
      <c r="Q13" s="3023">
        <f t="shared" si="6"/>
        <v>111</v>
      </c>
      <c r="R13" s="771" t="s">
        <v>17</v>
      </c>
      <c r="S13" s="772">
        <f t="shared" si="0"/>
        <v>100</v>
      </c>
      <c r="T13" s="771" t="s">
        <v>17</v>
      </c>
      <c r="U13" s="772">
        <f t="shared" si="1"/>
        <v>100</v>
      </c>
      <c r="V13" s="771" t="s">
        <v>17</v>
      </c>
      <c r="W13" s="772">
        <f t="shared" si="2"/>
        <v>100</v>
      </c>
      <c r="X13" s="773"/>
      <c r="Y13" s="3162"/>
      <c r="Z13" s="3024">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2"/>
      <c r="Q14" s="3023">
        <f t="shared" si="6"/>
        <v>111</v>
      </c>
      <c r="R14" s="771" t="s">
        <v>17</v>
      </c>
      <c r="S14" s="772">
        <f t="shared" si="0"/>
        <v>100</v>
      </c>
      <c r="T14" s="771" t="s">
        <v>17</v>
      </c>
      <c r="U14" s="772">
        <f t="shared" si="1"/>
        <v>100</v>
      </c>
      <c r="V14" s="771" t="s">
        <v>17</v>
      </c>
      <c r="W14" s="772">
        <f t="shared" si="2"/>
        <v>100</v>
      </c>
      <c r="X14" s="773"/>
      <c r="Y14" s="3162"/>
      <c r="Z14" s="3024">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2" t="s">
        <v>2561</v>
      </c>
      <c r="Q15" s="3026" t="str">
        <f t="shared" si="6"/>
        <v>商业繁华度</v>
      </c>
      <c r="R15" s="775" t="s">
        <v>17</v>
      </c>
      <c r="S15" s="776">
        <f t="shared" si="0"/>
        <v>100</v>
      </c>
      <c r="T15" s="775" t="s">
        <v>17</v>
      </c>
      <c r="U15" s="776">
        <f t="shared" si="1"/>
        <v>100</v>
      </c>
      <c r="V15" s="775" t="s">
        <v>17</v>
      </c>
      <c r="W15" s="776">
        <f t="shared" si="2"/>
        <v>100</v>
      </c>
      <c r="X15" s="3030"/>
      <c r="Y15" s="3344" t="s">
        <v>2561</v>
      </c>
      <c r="Z15" s="3028" t="str">
        <f t="shared" si="7"/>
        <v>商业繁华度</v>
      </c>
      <c r="AA15" s="3027">
        <f t="shared" si="3"/>
        <v>1</v>
      </c>
      <c r="AB15" s="3027">
        <f t="shared" si="4"/>
        <v>1</v>
      </c>
      <c r="AC15" s="3027">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43"/>
      <c r="Q16" s="3026"/>
      <c r="R16" s="775"/>
      <c r="S16" s="776"/>
      <c r="T16" s="775"/>
      <c r="U16" s="776"/>
      <c r="V16" s="775"/>
      <c r="W16" s="776"/>
      <c r="X16" s="3030"/>
      <c r="Y16" s="3345"/>
      <c r="Z16" s="3028"/>
      <c r="AA16" s="3027">
        <v>1</v>
      </c>
      <c r="AB16" s="3027">
        <v>1</v>
      </c>
      <c r="AC16" s="3027">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3"/>
      <c r="Q17" s="3026" t="str">
        <f>B17</f>
        <v>交通便捷度</v>
      </c>
      <c r="R17" s="775" t="s">
        <v>17</v>
      </c>
      <c r="S17" s="776">
        <f>F17</f>
        <v>100</v>
      </c>
      <c r="T17" s="775" t="s">
        <v>17</v>
      </c>
      <c r="U17" s="776">
        <f>H17</f>
        <v>100</v>
      </c>
      <c r="V17" s="775" t="s">
        <v>17</v>
      </c>
      <c r="W17" s="776">
        <f>J17</f>
        <v>100</v>
      </c>
      <c r="X17" s="3030"/>
      <c r="Y17" s="3345"/>
      <c r="Z17" s="3028" t="str">
        <f>Q17</f>
        <v>交通便捷度</v>
      </c>
      <c r="AA17" s="3027">
        <f t="shared" si="3"/>
        <v>1</v>
      </c>
      <c r="AB17" s="3027">
        <f t="shared" si="4"/>
        <v>1</v>
      </c>
      <c r="AC17" s="3027">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43"/>
      <c r="Q18" s="3026"/>
      <c r="R18" s="775"/>
      <c r="S18" s="776"/>
      <c r="T18" s="775"/>
      <c r="U18" s="776"/>
      <c r="V18" s="775"/>
      <c r="W18" s="776"/>
      <c r="X18" s="3030"/>
      <c r="Y18" s="3345"/>
      <c r="Z18" s="3028"/>
      <c r="AA18" s="3027">
        <v>1</v>
      </c>
      <c r="AB18" s="3027">
        <v>1</v>
      </c>
      <c r="AC18" s="3027">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3"/>
      <c r="Q19" s="3026" t="str">
        <f>B19</f>
        <v>公共配套设施</v>
      </c>
      <c r="R19" s="775" t="s">
        <v>17</v>
      </c>
      <c r="S19" s="776">
        <f>F19</f>
        <v>100</v>
      </c>
      <c r="T19" s="775" t="s">
        <v>17</v>
      </c>
      <c r="U19" s="776">
        <f>H19</f>
        <v>100</v>
      </c>
      <c r="V19" s="775" t="s">
        <v>17</v>
      </c>
      <c r="W19" s="776">
        <f>J19</f>
        <v>100</v>
      </c>
      <c r="X19" s="3030"/>
      <c r="Y19" s="3345"/>
      <c r="Z19" s="3028" t="str">
        <f>Q19</f>
        <v>公共配套设施</v>
      </c>
      <c r="AA19" s="3027">
        <f t="shared" si="3"/>
        <v>1</v>
      </c>
      <c r="AB19" s="3027">
        <f t="shared" si="4"/>
        <v>1</v>
      </c>
      <c r="AC19" s="3027">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43"/>
      <c r="Q20" s="3026"/>
      <c r="R20" s="775"/>
      <c r="S20" s="776"/>
      <c r="T20" s="775"/>
      <c r="U20" s="776"/>
      <c r="V20" s="775"/>
      <c r="W20" s="776"/>
      <c r="X20" s="3030"/>
      <c r="Y20" s="3345"/>
      <c r="Z20" s="3028"/>
      <c r="AA20" s="3027">
        <v>1</v>
      </c>
      <c r="AB20" s="3027">
        <v>1</v>
      </c>
      <c r="AC20" s="3027">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3"/>
      <c r="Q21" s="3026" t="str">
        <f>B21</f>
        <v>基础设施水平</v>
      </c>
      <c r="R21" s="775" t="s">
        <v>17</v>
      </c>
      <c r="S21" s="776">
        <f>F21</f>
        <v>100</v>
      </c>
      <c r="T21" s="775" t="s">
        <v>17</v>
      </c>
      <c r="U21" s="776">
        <f>H21</f>
        <v>100</v>
      </c>
      <c r="V21" s="775" t="s">
        <v>17</v>
      </c>
      <c r="W21" s="776">
        <f>J21</f>
        <v>100</v>
      </c>
      <c r="X21" s="3030"/>
      <c r="Y21" s="3345"/>
      <c r="Z21" s="3028" t="str">
        <f>Q21</f>
        <v>基础设施水平</v>
      </c>
      <c r="AA21" s="3027">
        <f t="shared" ref="AA21" si="8">D21/F21</f>
        <v>1</v>
      </c>
      <c r="AB21" s="3027">
        <f t="shared" ref="AB21" si="9">D21/H21</f>
        <v>1</v>
      </c>
      <c r="AC21" s="3027">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43"/>
      <c r="Q22" s="3026"/>
      <c r="R22" s="775"/>
      <c r="S22" s="776"/>
      <c r="T22" s="775"/>
      <c r="U22" s="776"/>
      <c r="V22" s="775"/>
      <c r="W22" s="776"/>
      <c r="X22" s="3030"/>
      <c r="Y22" s="3345"/>
      <c r="Z22" s="3028"/>
      <c r="AA22" s="3027">
        <v>1</v>
      </c>
      <c r="AB22" s="3027">
        <v>1</v>
      </c>
      <c r="AC22" s="3027">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3"/>
      <c r="Q23" s="3026" t="str">
        <f>B23</f>
        <v>自然及人文环境</v>
      </c>
      <c r="R23" s="775" t="s">
        <v>17</v>
      </c>
      <c r="S23" s="776">
        <f>F23</f>
        <v>100</v>
      </c>
      <c r="T23" s="775" t="s">
        <v>17</v>
      </c>
      <c r="U23" s="776">
        <f>H23</f>
        <v>100</v>
      </c>
      <c r="V23" s="775" t="s">
        <v>17</v>
      </c>
      <c r="W23" s="776">
        <f>J23</f>
        <v>100</v>
      </c>
      <c r="X23" s="3030"/>
      <c r="Y23" s="3345"/>
      <c r="Z23" s="3028" t="str">
        <f>Q23</f>
        <v>自然及人文环境</v>
      </c>
      <c r="AA23" s="3027">
        <f t="shared" si="3"/>
        <v>1</v>
      </c>
      <c r="AB23" s="3027">
        <f t="shared" si="4"/>
        <v>1</v>
      </c>
      <c r="AC23" s="3027">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43"/>
      <c r="Q24" s="3026"/>
      <c r="R24" s="775"/>
      <c r="S24" s="776"/>
      <c r="T24" s="775"/>
      <c r="U24" s="776"/>
      <c r="V24" s="775"/>
      <c r="W24" s="776"/>
      <c r="X24" s="3030"/>
      <c r="Y24" s="3345"/>
      <c r="Z24" s="3028"/>
      <c r="AA24" s="3027">
        <v>1</v>
      </c>
      <c r="AB24" s="3027">
        <v>1</v>
      </c>
      <c r="AC24" s="3027">
        <v>1</v>
      </c>
    </row>
    <row r="25" spans="1:29" ht="15">
      <c r="A25" s="429"/>
      <c r="B25" s="3025" t="s">
        <v>2657</v>
      </c>
      <c r="C25" s="617" t="s">
        <v>3505</v>
      </c>
      <c r="D25" s="436">
        <v>100</v>
      </c>
      <c r="E25" s="617" t="s">
        <v>3505</v>
      </c>
      <c r="F25" s="462">
        <f>SUMIF(86:86,E25,87:87)-SUMIF(86:86,C25,87:87)+100</f>
        <v>100</v>
      </c>
      <c r="G25" s="617" t="s">
        <v>3509</v>
      </c>
      <c r="H25" s="436">
        <f>SUMIF(86:86,G25,87:87)-SUMIF(86:86,C25,87:87)+100</f>
        <v>96</v>
      </c>
      <c r="I25" s="617" t="s">
        <v>3509</v>
      </c>
      <c r="J25" s="436">
        <f>SUMIF(86:86,I25,87:87)-SUMIF(86:86,C25,87:87)+100</f>
        <v>96</v>
      </c>
      <c r="K25" s="613">
        <v>2</v>
      </c>
      <c r="L25" s="1144"/>
      <c r="M25" s="1135"/>
      <c r="N25" s="1135"/>
      <c r="O25" s="1135"/>
      <c r="P25" s="3343"/>
      <c r="Q25" s="3026" t="str">
        <f t="shared" ref="Q25:Q46" si="11">B25</f>
        <v>临街状况</v>
      </c>
      <c r="R25" s="775" t="s">
        <v>17</v>
      </c>
      <c r="S25" s="776">
        <f>F25</f>
        <v>100</v>
      </c>
      <c r="T25" s="775" t="s">
        <v>17</v>
      </c>
      <c r="U25" s="776">
        <f>H25</f>
        <v>96</v>
      </c>
      <c r="V25" s="775" t="s">
        <v>17</v>
      </c>
      <c r="W25" s="776">
        <f>J25</f>
        <v>96</v>
      </c>
      <c r="X25" s="3030"/>
      <c r="Y25" s="3345"/>
      <c r="Z25" s="3028" t="str">
        <f>Q25</f>
        <v>临街状况</v>
      </c>
      <c r="AA25" s="3027">
        <f t="shared" si="3"/>
        <v>1</v>
      </c>
      <c r="AB25" s="3027">
        <f t="shared" si="4"/>
        <v>1.0416666666666667</v>
      </c>
      <c r="AC25" s="3027">
        <f t="shared" si="5"/>
        <v>1.0416666666666667</v>
      </c>
    </row>
    <row r="26" spans="1:29" ht="15">
      <c r="A26" s="429"/>
      <c r="B26" s="1390" t="s">
        <v>2658</v>
      </c>
      <c r="C26" s="3017" t="s">
        <v>3517</v>
      </c>
      <c r="D26" s="436">
        <v>100</v>
      </c>
      <c r="E26" s="3017" t="s">
        <v>3517</v>
      </c>
      <c r="F26" s="462">
        <f>SUMIF(88:88,E26,89:89)-SUMIF(88:88,C26,89:89)+100</f>
        <v>100</v>
      </c>
      <c r="G26" s="3017" t="s">
        <v>3514</v>
      </c>
      <c r="H26" s="436">
        <f>SUMIF(88:88,G26,89:89)-SUMIF(88:88,C26,89:89)+100</f>
        <v>98</v>
      </c>
      <c r="I26" s="3017" t="s">
        <v>3559</v>
      </c>
      <c r="J26" s="436">
        <f>SUMIF(88:88,I26,89:89)-SUMIF(88:88,C26,89:89)+100</f>
        <v>98</v>
      </c>
      <c r="K26" s="614"/>
      <c r="L26" s="1144"/>
      <c r="M26" s="1135"/>
      <c r="N26" s="1135"/>
      <c r="O26" s="1135"/>
      <c r="P26" s="3343"/>
      <c r="Q26" s="3026" t="str">
        <f t="shared" si="11"/>
        <v>平面位置/可视性</v>
      </c>
      <c r="R26" s="775" t="s">
        <v>17</v>
      </c>
      <c r="S26" s="776">
        <f>F26</f>
        <v>100</v>
      </c>
      <c r="T26" s="775" t="s">
        <v>17</v>
      </c>
      <c r="U26" s="776">
        <f>H26</f>
        <v>98</v>
      </c>
      <c r="V26" s="775" t="s">
        <v>17</v>
      </c>
      <c r="W26" s="776">
        <f>J26</f>
        <v>98</v>
      </c>
      <c r="X26" s="3030"/>
      <c r="Y26" s="3345"/>
      <c r="Z26" s="3028" t="str">
        <f>Q26</f>
        <v>平面位置/可视性</v>
      </c>
      <c r="AA26" s="3027">
        <f t="shared" si="3"/>
        <v>1</v>
      </c>
      <c r="AB26" s="3027">
        <f t="shared" si="4"/>
        <v>1.0204081632653061</v>
      </c>
      <c r="AC26" s="3027">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43"/>
      <c r="Q27" s="3023" t="str">
        <f t="shared" si="11"/>
        <v>人流量</v>
      </c>
      <c r="R27" s="771" t="s">
        <v>17</v>
      </c>
      <c r="S27" s="772">
        <f>F27</f>
        <v>98</v>
      </c>
      <c r="T27" s="771" t="s">
        <v>17</v>
      </c>
      <c r="U27" s="772">
        <f>H27</f>
        <v>98</v>
      </c>
      <c r="V27" s="771" t="s">
        <v>17</v>
      </c>
      <c r="W27" s="772">
        <f>J27</f>
        <v>98</v>
      </c>
      <c r="X27" s="773"/>
      <c r="Y27" s="3345"/>
      <c r="Z27" s="3024" t="str">
        <f>Q27</f>
        <v>人流量</v>
      </c>
      <c r="AA27" s="3027">
        <f>D27/F27</f>
        <v>1.0204081632653061</v>
      </c>
      <c r="AB27" s="3027">
        <f>D27/H27</f>
        <v>1.0204081632653061</v>
      </c>
      <c r="AC27" s="3027">
        <f>D27/J27</f>
        <v>1.0204081632653061</v>
      </c>
    </row>
    <row r="28" spans="1:29" ht="15">
      <c r="A28" s="429"/>
      <c r="B28" s="3025"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43"/>
      <c r="Q28" s="3026" t="str">
        <f t="shared" si="11"/>
        <v>楼层</v>
      </c>
      <c r="R28" s="775" t="s">
        <v>17</v>
      </c>
      <c r="S28" s="776">
        <f t="shared" ref="S28:S46" si="12">F28</f>
        <v>100</v>
      </c>
      <c r="T28" s="775" t="s">
        <v>17</v>
      </c>
      <c r="U28" s="776">
        <f t="shared" ref="U28:U46" si="13">H28</f>
        <v>100</v>
      </c>
      <c r="V28" s="775" t="s">
        <v>17</v>
      </c>
      <c r="W28" s="776">
        <f t="shared" ref="W28:W46" si="14">J28</f>
        <v>100</v>
      </c>
      <c r="X28" s="3030"/>
      <c r="Y28" s="3345"/>
      <c r="Z28" s="3028" t="str">
        <f t="shared" ref="Z28:Z46" si="15">Q28</f>
        <v>楼层</v>
      </c>
      <c r="AA28" s="3027">
        <f t="shared" si="3"/>
        <v>1</v>
      </c>
      <c r="AB28" s="3027">
        <f t="shared" si="4"/>
        <v>1</v>
      </c>
      <c r="AC28" s="3027">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3"/>
      <c r="Q29" s="3026">
        <f t="shared" si="11"/>
        <v>111</v>
      </c>
      <c r="R29" s="775" t="s">
        <v>17</v>
      </c>
      <c r="S29" s="776">
        <f t="shared" si="12"/>
        <v>100</v>
      </c>
      <c r="T29" s="775" t="s">
        <v>17</v>
      </c>
      <c r="U29" s="776">
        <f t="shared" si="13"/>
        <v>100</v>
      </c>
      <c r="V29" s="775" t="s">
        <v>17</v>
      </c>
      <c r="W29" s="776">
        <f t="shared" si="14"/>
        <v>100</v>
      </c>
      <c r="X29" s="3030"/>
      <c r="Y29" s="3345"/>
      <c r="Z29" s="3028">
        <f t="shared" si="15"/>
        <v>111</v>
      </c>
      <c r="AA29" s="3027">
        <f t="shared" si="3"/>
        <v>1</v>
      </c>
      <c r="AB29" s="3027">
        <f t="shared" si="4"/>
        <v>1</v>
      </c>
      <c r="AC29" s="3027">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3"/>
      <c r="Q30" s="3026">
        <f t="shared" si="11"/>
        <v>111</v>
      </c>
      <c r="R30" s="775" t="s">
        <v>17</v>
      </c>
      <c r="S30" s="776">
        <f t="shared" si="12"/>
        <v>100</v>
      </c>
      <c r="T30" s="775" t="s">
        <v>17</v>
      </c>
      <c r="U30" s="776">
        <f t="shared" si="13"/>
        <v>100</v>
      </c>
      <c r="V30" s="775" t="s">
        <v>17</v>
      </c>
      <c r="W30" s="776">
        <f t="shared" si="14"/>
        <v>100</v>
      </c>
      <c r="X30" s="3030"/>
      <c r="Y30" s="3345"/>
      <c r="Z30" s="3028">
        <f t="shared" si="15"/>
        <v>111</v>
      </c>
      <c r="AA30" s="3027">
        <f t="shared" si="3"/>
        <v>1</v>
      </c>
      <c r="AB30" s="3027">
        <f t="shared" si="4"/>
        <v>1</v>
      </c>
      <c r="AC30" s="3027">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3"/>
      <c r="Q31" s="3026">
        <f t="shared" si="11"/>
        <v>111</v>
      </c>
      <c r="R31" s="775" t="s">
        <v>17</v>
      </c>
      <c r="S31" s="776">
        <f t="shared" si="12"/>
        <v>100</v>
      </c>
      <c r="T31" s="775" t="s">
        <v>17</v>
      </c>
      <c r="U31" s="776">
        <f t="shared" si="13"/>
        <v>100</v>
      </c>
      <c r="V31" s="775" t="s">
        <v>17</v>
      </c>
      <c r="W31" s="776">
        <f t="shared" si="14"/>
        <v>100</v>
      </c>
      <c r="X31" s="3030"/>
      <c r="Y31" s="3345"/>
      <c r="Z31" s="3028">
        <f t="shared" si="15"/>
        <v>111</v>
      </c>
      <c r="AA31" s="3027">
        <f t="shared" si="3"/>
        <v>1</v>
      </c>
      <c r="AB31" s="3027">
        <f t="shared" si="4"/>
        <v>1</v>
      </c>
      <c r="AC31" s="3027">
        <f t="shared" si="5"/>
        <v>1</v>
      </c>
    </row>
    <row r="32" spans="1:29" ht="15">
      <c r="A32" s="441" t="s">
        <v>2564</v>
      </c>
      <c r="B32" s="71" t="s">
        <v>2661</v>
      </c>
      <c r="C32" s="2621" t="s">
        <v>3528</v>
      </c>
      <c r="D32" s="468">
        <v>100</v>
      </c>
      <c r="E32" s="2621" t="s">
        <v>3528</v>
      </c>
      <c r="F32" s="462">
        <f>SUMIF(100:100,E32,101:101)-SUMIF(100:100,C32,101:101)+100</f>
        <v>100</v>
      </c>
      <c r="G32" s="2621" t="s">
        <v>3526</v>
      </c>
      <c r="H32" s="436">
        <f>SUMIF(100:100,G32,101:101)-SUMIF(100:100,C32,101:101)+100</f>
        <v>105</v>
      </c>
      <c r="I32" s="2621" t="s">
        <v>3526</v>
      </c>
      <c r="J32" s="468">
        <f>SUMIF(100:100,I32,101:101)-SUMIF(100:100,C32,101:101)+100</f>
        <v>105</v>
      </c>
      <c r="K32" s="613">
        <v>5</v>
      </c>
      <c r="L32" s="1144"/>
      <c r="M32" s="1135"/>
      <c r="N32" s="1135"/>
      <c r="O32" s="1135"/>
      <c r="P32" s="3346" t="s">
        <v>2566</v>
      </c>
      <c r="Q32" s="3026" t="str">
        <f t="shared" si="11"/>
        <v>商业类型</v>
      </c>
      <c r="R32" s="775" t="s">
        <v>17</v>
      </c>
      <c r="S32" s="776">
        <f t="shared" si="12"/>
        <v>100</v>
      </c>
      <c r="T32" s="775" t="s">
        <v>17</v>
      </c>
      <c r="U32" s="776">
        <f t="shared" si="13"/>
        <v>105</v>
      </c>
      <c r="V32" s="775" t="s">
        <v>17</v>
      </c>
      <c r="W32" s="776">
        <f t="shared" si="14"/>
        <v>105</v>
      </c>
      <c r="X32" s="3030"/>
      <c r="Y32" s="3349" t="s">
        <v>2566</v>
      </c>
      <c r="Z32" s="3028" t="str">
        <f t="shared" si="15"/>
        <v>商业类型</v>
      </c>
      <c r="AA32" s="3027">
        <f t="shared" si="3"/>
        <v>1</v>
      </c>
      <c r="AB32" s="3027">
        <f t="shared" si="4"/>
        <v>0.95238095238095233</v>
      </c>
      <c r="AC32" s="3027">
        <f t="shared" si="5"/>
        <v>0.95238095238095233</v>
      </c>
    </row>
    <row r="33" spans="1:29" s="472" customFormat="1" ht="15">
      <c r="A33" s="469"/>
      <c r="B33" s="3025" t="s">
        <v>2567</v>
      </c>
      <c r="C33" s="3079">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47"/>
      <c r="Q33" s="777" t="str">
        <f t="shared" si="11"/>
        <v>项目建筑规模</v>
      </c>
      <c r="R33" s="778" t="s">
        <v>17</v>
      </c>
      <c r="S33" s="779">
        <f t="shared" si="12"/>
        <v>106</v>
      </c>
      <c r="T33" s="778" t="s">
        <v>17</v>
      </c>
      <c r="U33" s="779">
        <f t="shared" si="13"/>
        <v>108</v>
      </c>
      <c r="V33" s="778" t="s">
        <v>17</v>
      </c>
      <c r="W33" s="779">
        <f t="shared" si="14"/>
        <v>108</v>
      </c>
      <c r="X33" s="780"/>
      <c r="Y33" s="3349"/>
      <c r="Z33" s="781" t="str">
        <f t="shared" si="15"/>
        <v>项目建筑规模</v>
      </c>
      <c r="AA33" s="3027">
        <f t="shared" si="3"/>
        <v>0.94339622641509435</v>
      </c>
      <c r="AB33" s="3027">
        <f t="shared" si="4"/>
        <v>0.92592592592592593</v>
      </c>
      <c r="AC33" s="3027">
        <f t="shared" si="5"/>
        <v>0.92592592592592593</v>
      </c>
    </row>
    <row r="34" spans="1:29" ht="15">
      <c r="A34" s="473"/>
      <c r="B34" s="3025"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47"/>
      <c r="Q34" s="3026" t="str">
        <f t="shared" si="11"/>
        <v>建筑结构</v>
      </c>
      <c r="R34" s="775" t="s">
        <v>17</v>
      </c>
      <c r="S34" s="776">
        <f t="shared" si="12"/>
        <v>100</v>
      </c>
      <c r="T34" s="775" t="s">
        <v>17</v>
      </c>
      <c r="U34" s="776">
        <f t="shared" si="13"/>
        <v>100</v>
      </c>
      <c r="V34" s="775" t="s">
        <v>17</v>
      </c>
      <c r="W34" s="776">
        <f t="shared" si="14"/>
        <v>100</v>
      </c>
      <c r="X34" s="3030"/>
      <c r="Y34" s="3349"/>
      <c r="Z34" s="3028" t="str">
        <f t="shared" si="15"/>
        <v>建筑结构</v>
      </c>
      <c r="AA34" s="3027">
        <f t="shared" si="3"/>
        <v>1</v>
      </c>
      <c r="AB34" s="3027">
        <f t="shared" si="4"/>
        <v>1</v>
      </c>
      <c r="AC34" s="3027">
        <f t="shared" si="5"/>
        <v>1</v>
      </c>
    </row>
    <row r="35" spans="1:29" ht="15">
      <c r="A35" s="473"/>
      <c r="B35" s="3025"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47"/>
      <c r="Q35" s="3026" t="str">
        <f t="shared" si="11"/>
        <v>公共部分装修</v>
      </c>
      <c r="R35" s="775" t="s">
        <v>17</v>
      </c>
      <c r="S35" s="776">
        <f t="shared" si="12"/>
        <v>100</v>
      </c>
      <c r="T35" s="775" t="s">
        <v>17</v>
      </c>
      <c r="U35" s="776">
        <f t="shared" si="13"/>
        <v>100</v>
      </c>
      <c r="V35" s="775" t="s">
        <v>17</v>
      </c>
      <c r="W35" s="776">
        <f t="shared" si="14"/>
        <v>100</v>
      </c>
      <c r="X35" s="3030"/>
      <c r="Y35" s="3349"/>
      <c r="Z35" s="3028" t="str">
        <f t="shared" si="15"/>
        <v>公共部分装修</v>
      </c>
      <c r="AA35" s="3027">
        <f t="shared" si="3"/>
        <v>1</v>
      </c>
      <c r="AB35" s="3027">
        <f t="shared" si="4"/>
        <v>1</v>
      </c>
      <c r="AC35" s="3027">
        <f t="shared" si="5"/>
        <v>1</v>
      </c>
    </row>
    <row r="36" spans="1:29" ht="15">
      <c r="A36" s="473"/>
      <c r="B36" s="3025" t="s">
        <v>2663</v>
      </c>
      <c r="C36" s="475">
        <f>'数据-取费表'!N6</f>
        <v>0.85</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47"/>
      <c r="Q36" s="3026" t="str">
        <f t="shared" si="11"/>
        <v>成新度</v>
      </c>
      <c r="R36" s="775" t="s">
        <v>17</v>
      </c>
      <c r="S36" s="776">
        <f t="shared" si="12"/>
        <v>100</v>
      </c>
      <c r="T36" s="775" t="s">
        <v>17</v>
      </c>
      <c r="U36" s="776">
        <f t="shared" si="13"/>
        <v>100</v>
      </c>
      <c r="V36" s="775" t="s">
        <v>17</v>
      </c>
      <c r="W36" s="776">
        <f t="shared" si="14"/>
        <v>100</v>
      </c>
      <c r="X36" s="3030"/>
      <c r="Y36" s="3349"/>
      <c r="Z36" s="3028" t="str">
        <f t="shared" si="15"/>
        <v>成新度</v>
      </c>
      <c r="AA36" s="3027">
        <f t="shared" si="3"/>
        <v>1</v>
      </c>
      <c r="AB36" s="3027">
        <f t="shared" si="4"/>
        <v>1</v>
      </c>
      <c r="AC36" s="3027">
        <f t="shared" si="5"/>
        <v>1</v>
      </c>
    </row>
    <row r="37" spans="1:29" s="117" customFormat="1" ht="15">
      <c r="A37" s="474"/>
      <c r="B37" s="3025"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47"/>
      <c r="Q37" s="3023" t="str">
        <f t="shared" si="11"/>
        <v>市政基础设施</v>
      </c>
      <c r="R37" s="771" t="s">
        <v>17</v>
      </c>
      <c r="S37" s="772">
        <f t="shared" si="12"/>
        <v>100</v>
      </c>
      <c r="T37" s="771" t="s">
        <v>17</v>
      </c>
      <c r="U37" s="772">
        <f t="shared" si="13"/>
        <v>100</v>
      </c>
      <c r="V37" s="771" t="s">
        <v>17</v>
      </c>
      <c r="W37" s="772">
        <f t="shared" si="14"/>
        <v>100</v>
      </c>
      <c r="X37" s="773"/>
      <c r="Y37" s="3349"/>
      <c r="Z37" s="3024" t="str">
        <f t="shared" si="15"/>
        <v>市政基础设施</v>
      </c>
      <c r="AA37" s="774">
        <f t="shared" si="3"/>
        <v>1</v>
      </c>
      <c r="AB37" s="774">
        <f t="shared" si="4"/>
        <v>1</v>
      </c>
      <c r="AC37" s="774">
        <f t="shared" si="5"/>
        <v>1</v>
      </c>
    </row>
    <row r="38" spans="1:29" ht="15">
      <c r="A38" s="473"/>
      <c r="B38" s="3025"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47" t="s">
        <v>2566</v>
      </c>
      <c r="Q38" s="3026" t="str">
        <f t="shared" si="11"/>
        <v>业态</v>
      </c>
      <c r="R38" s="775" t="s">
        <v>17</v>
      </c>
      <c r="S38" s="776">
        <f t="shared" si="12"/>
        <v>100</v>
      </c>
      <c r="T38" s="775" t="s">
        <v>17</v>
      </c>
      <c r="U38" s="776">
        <f t="shared" si="13"/>
        <v>100</v>
      </c>
      <c r="V38" s="775" t="s">
        <v>17</v>
      </c>
      <c r="W38" s="776">
        <f t="shared" si="14"/>
        <v>100</v>
      </c>
      <c r="X38" s="3030"/>
      <c r="Y38" s="3349" t="s">
        <v>2566</v>
      </c>
      <c r="Z38" s="3028" t="str">
        <f t="shared" si="15"/>
        <v>业态</v>
      </c>
      <c r="AA38" s="3027">
        <f t="shared" si="3"/>
        <v>1</v>
      </c>
      <c r="AB38" s="3027">
        <f t="shared" si="4"/>
        <v>1</v>
      </c>
      <c r="AC38" s="3027">
        <f t="shared" si="5"/>
        <v>1</v>
      </c>
    </row>
    <row r="39" spans="1:29" ht="15">
      <c r="A39" s="473"/>
      <c r="B39" s="3025"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47"/>
      <c r="Q39" s="3026" t="str">
        <f t="shared" si="11"/>
        <v>层高</v>
      </c>
      <c r="R39" s="775" t="s">
        <v>17</v>
      </c>
      <c r="S39" s="776">
        <f t="shared" si="12"/>
        <v>100</v>
      </c>
      <c r="T39" s="775" t="s">
        <v>17</v>
      </c>
      <c r="U39" s="776">
        <f t="shared" si="13"/>
        <v>100</v>
      </c>
      <c r="V39" s="775" t="s">
        <v>17</v>
      </c>
      <c r="W39" s="776">
        <f t="shared" si="14"/>
        <v>100</v>
      </c>
      <c r="X39" s="3030"/>
      <c r="Y39" s="3349"/>
      <c r="Z39" s="3028" t="str">
        <f t="shared" si="15"/>
        <v>层高</v>
      </c>
      <c r="AA39" s="3027">
        <f t="shared" si="3"/>
        <v>1</v>
      </c>
      <c r="AB39" s="3027">
        <f t="shared" si="4"/>
        <v>1</v>
      </c>
      <c r="AC39" s="3027">
        <f t="shared" si="5"/>
        <v>1</v>
      </c>
    </row>
    <row r="40" spans="1:29" ht="15">
      <c r="A40" s="473"/>
      <c r="B40" s="3025"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7"/>
      <c r="Q40" s="3026" t="str">
        <f t="shared" si="11"/>
        <v>单套建筑面积</v>
      </c>
      <c r="R40" s="775" t="s">
        <v>17</v>
      </c>
      <c r="S40" s="776">
        <f t="shared" si="12"/>
        <v>100</v>
      </c>
      <c r="T40" s="775" t="s">
        <v>17</v>
      </c>
      <c r="U40" s="776">
        <f t="shared" si="13"/>
        <v>100</v>
      </c>
      <c r="V40" s="775" t="s">
        <v>17</v>
      </c>
      <c r="W40" s="776">
        <f t="shared" si="14"/>
        <v>100</v>
      </c>
      <c r="X40" s="3030"/>
      <c r="Y40" s="3349"/>
      <c r="Z40" s="3028" t="str">
        <f t="shared" si="15"/>
        <v>单套建筑面积</v>
      </c>
      <c r="AA40" s="3027">
        <f t="shared" si="3"/>
        <v>1</v>
      </c>
      <c r="AB40" s="3027">
        <f t="shared" si="4"/>
        <v>1</v>
      </c>
      <c r="AC40" s="3027">
        <f t="shared" si="5"/>
        <v>1</v>
      </c>
    </row>
    <row r="41" spans="1:29" s="472" customFormat="1" ht="15">
      <c r="A41" s="469"/>
      <c r="B41" s="3031"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7"/>
      <c r="Q41" s="777" t="str">
        <f t="shared" si="11"/>
        <v>进深比</v>
      </c>
      <c r="R41" s="778" t="s">
        <v>17</v>
      </c>
      <c r="S41" s="779">
        <f t="shared" si="12"/>
        <v>100</v>
      </c>
      <c r="T41" s="778" t="s">
        <v>17</v>
      </c>
      <c r="U41" s="779">
        <f t="shared" si="13"/>
        <v>100</v>
      </c>
      <c r="V41" s="778" t="s">
        <v>17</v>
      </c>
      <c r="W41" s="779">
        <f t="shared" si="14"/>
        <v>100</v>
      </c>
      <c r="X41" s="780"/>
      <c r="Y41" s="3349"/>
      <c r="Z41" s="781" t="str">
        <f t="shared" si="15"/>
        <v>进深比</v>
      </c>
      <c r="AA41" s="3027">
        <f t="shared" si="3"/>
        <v>1</v>
      </c>
      <c r="AB41" s="3027">
        <f t="shared" si="4"/>
        <v>1</v>
      </c>
      <c r="AC41" s="3027">
        <f t="shared" si="5"/>
        <v>1</v>
      </c>
    </row>
    <row r="42" spans="1:29" ht="15">
      <c r="A42" s="473"/>
      <c r="B42" s="3025" t="s">
        <v>2669</v>
      </c>
      <c r="C42" s="2617" t="s">
        <v>3399</v>
      </c>
      <c r="D42" s="436">
        <v>100</v>
      </c>
      <c r="E42" s="2617" t="s">
        <v>3397</v>
      </c>
      <c r="F42" s="462">
        <f>SUMIF(122:122,E42,123:123)-SUMIF(122:122,C42,123:123)+100</f>
        <v>102</v>
      </c>
      <c r="G42" s="2617" t="s">
        <v>3534</v>
      </c>
      <c r="H42" s="436">
        <f>SUMIF(122:122,G42,123:123)-SUMIF(122:122,C42,123:123)+100</f>
        <v>98</v>
      </c>
      <c r="I42" s="2617" t="s">
        <v>3534</v>
      </c>
      <c r="J42" s="436">
        <f>SUMIF(122:122,I42,123:123)-SUMIF(122:122,C42,123:123)+100</f>
        <v>98</v>
      </c>
      <c r="K42" s="613">
        <v>2</v>
      </c>
      <c r="L42" s="1144"/>
      <c r="M42" s="1135"/>
      <c r="N42" s="1135"/>
      <c r="O42" s="1135"/>
      <c r="P42" s="3347"/>
      <c r="Q42" s="3026" t="str">
        <f t="shared" si="11"/>
        <v>内部装修</v>
      </c>
      <c r="R42" s="775" t="s">
        <v>17</v>
      </c>
      <c r="S42" s="776">
        <f t="shared" si="12"/>
        <v>102</v>
      </c>
      <c r="T42" s="775" t="s">
        <v>17</v>
      </c>
      <c r="U42" s="776">
        <f t="shared" si="13"/>
        <v>98</v>
      </c>
      <c r="V42" s="775" t="s">
        <v>17</v>
      </c>
      <c r="W42" s="776">
        <f t="shared" si="14"/>
        <v>98</v>
      </c>
      <c r="X42" s="3030"/>
      <c r="Y42" s="3349"/>
      <c r="Z42" s="3028" t="str">
        <f t="shared" si="15"/>
        <v>内部装修</v>
      </c>
      <c r="AA42" s="3027">
        <f t="shared" si="3"/>
        <v>0.98039215686274506</v>
      </c>
      <c r="AB42" s="3027">
        <f t="shared" si="4"/>
        <v>1.0204081632653061</v>
      </c>
      <c r="AC42" s="3027">
        <f t="shared" si="5"/>
        <v>1.0204081632653061</v>
      </c>
    </row>
    <row r="43" spans="1:29" ht="15">
      <c r="A43" s="473"/>
      <c r="B43" s="3025"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47"/>
      <c r="Q43" s="3026" t="str">
        <f t="shared" si="11"/>
        <v>内部装修维护情况</v>
      </c>
      <c r="R43" s="775" t="s">
        <v>17</v>
      </c>
      <c r="S43" s="776">
        <f t="shared" si="12"/>
        <v>100</v>
      </c>
      <c r="T43" s="775" t="s">
        <v>17</v>
      </c>
      <c r="U43" s="776">
        <f t="shared" si="13"/>
        <v>100</v>
      </c>
      <c r="V43" s="775" t="s">
        <v>17</v>
      </c>
      <c r="W43" s="776">
        <f t="shared" si="14"/>
        <v>100</v>
      </c>
      <c r="X43" s="3030"/>
      <c r="Y43" s="3349"/>
      <c r="Z43" s="3028" t="str">
        <f t="shared" si="15"/>
        <v>内部装修维护情况</v>
      </c>
      <c r="AA43" s="3027">
        <f t="shared" si="3"/>
        <v>1</v>
      </c>
      <c r="AB43" s="3027">
        <f t="shared" si="4"/>
        <v>1</v>
      </c>
      <c r="AC43" s="3027">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7"/>
      <c r="Q44" s="3023">
        <f t="shared" si="11"/>
        <v>111</v>
      </c>
      <c r="R44" s="771" t="s">
        <v>17</v>
      </c>
      <c r="S44" s="772">
        <f t="shared" si="12"/>
        <v>100</v>
      </c>
      <c r="T44" s="771" t="s">
        <v>17</v>
      </c>
      <c r="U44" s="772">
        <f t="shared" si="13"/>
        <v>100</v>
      </c>
      <c r="V44" s="771" t="s">
        <v>17</v>
      </c>
      <c r="W44" s="772">
        <f t="shared" si="14"/>
        <v>100</v>
      </c>
      <c r="X44" s="773"/>
      <c r="Y44" s="3349"/>
      <c r="Z44" s="3024">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7"/>
      <c r="Q45" s="3026">
        <f t="shared" si="11"/>
        <v>111</v>
      </c>
      <c r="R45" s="775" t="s">
        <v>17</v>
      </c>
      <c r="S45" s="776">
        <f t="shared" si="12"/>
        <v>100</v>
      </c>
      <c r="T45" s="775" t="s">
        <v>17</v>
      </c>
      <c r="U45" s="776">
        <f t="shared" si="13"/>
        <v>100</v>
      </c>
      <c r="V45" s="775" t="s">
        <v>17</v>
      </c>
      <c r="W45" s="776">
        <f t="shared" si="14"/>
        <v>100</v>
      </c>
      <c r="X45" s="3030"/>
      <c r="Y45" s="3349"/>
      <c r="Z45" s="3028">
        <f t="shared" si="15"/>
        <v>111</v>
      </c>
      <c r="AA45" s="3027">
        <f t="shared" si="3"/>
        <v>1</v>
      </c>
      <c r="AB45" s="3027">
        <f t="shared" si="4"/>
        <v>1</v>
      </c>
      <c r="AC45" s="3027">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48"/>
      <c r="Q46" s="3026">
        <f t="shared" si="11"/>
        <v>111</v>
      </c>
      <c r="R46" s="775" t="s">
        <v>17</v>
      </c>
      <c r="S46" s="776">
        <f t="shared" si="12"/>
        <v>100</v>
      </c>
      <c r="T46" s="775" t="s">
        <v>17</v>
      </c>
      <c r="U46" s="776">
        <f t="shared" si="13"/>
        <v>100</v>
      </c>
      <c r="V46" s="775" t="s">
        <v>17</v>
      </c>
      <c r="W46" s="776">
        <f t="shared" si="14"/>
        <v>100</v>
      </c>
      <c r="X46" s="3030"/>
      <c r="Y46" s="3350"/>
      <c r="Z46" s="3028">
        <f t="shared" si="15"/>
        <v>111</v>
      </c>
      <c r="AA46" s="3027">
        <f t="shared" si="3"/>
        <v>1</v>
      </c>
      <c r="AB46" s="3027">
        <f t="shared" si="4"/>
        <v>1</v>
      </c>
      <c r="AC46" s="3027">
        <f t="shared" si="5"/>
        <v>1</v>
      </c>
    </row>
    <row r="47" spans="1:29" ht="15">
      <c r="A47" s="480" t="s">
        <v>2578</v>
      </c>
      <c r="B47" s="481"/>
      <c r="C47" s="1411" t="s">
        <v>1</v>
      </c>
      <c r="D47" s="1412"/>
      <c r="E47" s="1413">
        <v>11</v>
      </c>
      <c r="F47" s="1414"/>
      <c r="G47" s="1415">
        <v>10.6</v>
      </c>
      <c r="H47" s="1416"/>
      <c r="I47" s="1413">
        <v>12</v>
      </c>
      <c r="J47" s="1416"/>
      <c r="K47" s="784"/>
      <c r="L47" s="1147">
        <v>0.95</v>
      </c>
      <c r="M47" s="1148"/>
      <c r="N47" s="1135"/>
      <c r="O47" s="1148"/>
      <c r="P47" s="3351" t="str">
        <f>A47</f>
        <v>成交单价（元/平方米）</v>
      </c>
      <c r="Q47" s="3351"/>
      <c r="R47" s="3339">
        <f>E47</f>
        <v>11</v>
      </c>
      <c r="S47" s="3339"/>
      <c r="T47" s="3339">
        <f>G47</f>
        <v>10.6</v>
      </c>
      <c r="U47" s="3339"/>
      <c r="V47" s="3339">
        <f>I47</f>
        <v>12</v>
      </c>
      <c r="W47" s="3339"/>
      <c r="X47" s="760"/>
      <c r="Y47" s="782"/>
      <c r="Z47" s="760"/>
      <c r="AA47" s="760"/>
      <c r="AB47" s="760"/>
      <c r="AC47" s="760"/>
    </row>
    <row r="48" spans="1:29" ht="15.75" thickBot="1">
      <c r="A48" s="487" t="s">
        <v>2670</v>
      </c>
      <c r="B48" s="488"/>
      <c r="C48" s="1417">
        <f>R49</f>
        <v>10.8</v>
      </c>
      <c r="D48" s="1418"/>
      <c r="E48" s="1419">
        <f>R48</f>
        <v>10.4</v>
      </c>
      <c r="F48" s="1419"/>
      <c r="G48" s="1417">
        <f>T48</f>
        <v>10.3</v>
      </c>
      <c r="H48" s="1418"/>
      <c r="I48" s="1419">
        <f>V48</f>
        <v>11.7</v>
      </c>
      <c r="J48" s="1418"/>
      <c r="K48" s="785"/>
      <c r="L48" s="1147"/>
      <c r="M48" s="1148"/>
      <c r="N48" s="1135"/>
      <c r="O48" s="1148"/>
      <c r="P48" s="3351" t="str">
        <f>A48</f>
        <v>比较价值（元/平方米）</v>
      </c>
      <c r="Q48" s="3351"/>
      <c r="R48" s="3352">
        <f>IF(F1="售价",ROUND(PRODUCT(R47,AA7:AA46),0),ROUND(PRODUCT(R47,AA7:AA46),1))</f>
        <v>10.4</v>
      </c>
      <c r="S48" s="3352"/>
      <c r="T48" s="3352">
        <f>IF(F1="售价",ROUND(PRODUCT(T47,AB7:AB46),0),ROUND(PRODUCT(T47,AB7:AB46),1))</f>
        <v>10.3</v>
      </c>
      <c r="U48" s="3352"/>
      <c r="V48" s="3352">
        <f>IF(F1="售价",ROUND(PRODUCT(V47,AC7:AC46),0),ROUND(PRODUCT(V47,AC7:AC46),1))</f>
        <v>11.7</v>
      </c>
      <c r="W48" s="3352"/>
      <c r="X48" s="760"/>
      <c r="Y48" s="760"/>
      <c r="Z48" s="760"/>
      <c r="AA48" s="760"/>
      <c r="AB48" s="760"/>
      <c r="AC48" s="760"/>
    </row>
    <row r="49" spans="1:29" ht="15.75" thickBot="1">
      <c r="A49" s="493" t="s">
        <v>2671</v>
      </c>
      <c r="B49" s="494"/>
      <c r="C49" s="1421">
        <f>R49</f>
        <v>10.8</v>
      </c>
      <c r="D49" s="1421"/>
      <c r="E49" s="1421"/>
      <c r="F49" s="1421"/>
      <c r="G49" s="1421"/>
      <c r="H49" s="1421"/>
      <c r="I49" s="1421"/>
      <c r="J49" s="1421"/>
      <c r="K49" s="786"/>
      <c r="L49" s="1147"/>
      <c r="M49" s="1148"/>
      <c r="N49" s="1135"/>
      <c r="O49" s="1148"/>
      <c r="P49" s="3376" t="str">
        <f>A49</f>
        <v>估价对象XX用房的比较价值（楼面单价，元/平方米）</v>
      </c>
      <c r="Q49" s="3377"/>
      <c r="R49" s="3378">
        <f>IF(F1="售价",ROUND(AVERAGE(R48:V48),0),ROUND(AVERAGE(R48:V48),1))</f>
        <v>10.8</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5.7692307692307709E-2</v>
      </c>
      <c r="F52" s="501" t="str">
        <f>IF(OR(E52&gt;=0.3,E52&lt;=-0.3),"超过30%","")</f>
        <v/>
      </c>
      <c r="G52" s="500">
        <f>IF(G47&lt;G48,G48/G47-1,G47/G48-1)</f>
        <v>2.9126213592232997E-2</v>
      </c>
      <c r="H52" s="501" t="str">
        <f>IF(OR(G52&gt;=0.3,G52&lt;=-0.3),"超过30%","")</f>
        <v/>
      </c>
      <c r="I52" s="500">
        <f>IF(I47&lt;I48,I48/I47-1,I47/I48-1)</f>
        <v>2.5641025641025772E-2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9.7087378640776656E-3</v>
      </c>
      <c r="F53" s="501" t="str">
        <f>IF(OR(E53&gt;=0.2,E53&lt;=-0.2),"超过20%","")</f>
        <v/>
      </c>
      <c r="G53" s="500">
        <f>IF(G48&lt;I48,I48/G48-1,G48/I48-1)</f>
        <v>0.13592233009708732</v>
      </c>
      <c r="H53" s="501" t="str">
        <f>IF(OR(G53&gt;=0.2,G53&lt;=-0.2),"超过20%","")</f>
        <v/>
      </c>
      <c r="I53" s="500">
        <f>IF(I48&lt;E48,E48/I48-1,I48/E48-1)</f>
        <v>0.125</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3.7735849056603765E-2</v>
      </c>
      <c r="F54" s="501" t="str">
        <f>IF(OR(E54&gt;=0.3,E54&lt;=-0.3),"超过30%","")</f>
        <v/>
      </c>
      <c r="G54" s="500">
        <f>IF(G47&lt;I47,I47/G47-1,G47/I47-1)</f>
        <v>0.13207547169811318</v>
      </c>
      <c r="H54" s="501" t="str">
        <f>IF(OR(G54&gt;=0.3,G54&lt;=-0.3),"超过30%","")</f>
        <v/>
      </c>
      <c r="I54" s="500">
        <f>IF(I47&lt;E47,E47/I47-1,I47/E47-1)</f>
        <v>9.0909090909090828E-2</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537">
        <v>75</v>
      </c>
      <c r="E93" s="537">
        <v>65</v>
      </c>
      <c r="F93" s="537">
        <v>55</v>
      </c>
      <c r="G93" s="537">
        <v>55</v>
      </c>
      <c r="H93" s="537">
        <v>40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ht="27">
      <c r="A100" s="528" t="s">
        <v>2564</v>
      </c>
      <c r="B100" s="529" t="s">
        <v>2682</v>
      </c>
      <c r="C100" s="3014" t="s">
        <v>3524</v>
      </c>
      <c r="D100" s="3014" t="s">
        <v>3525</v>
      </c>
      <c r="E100" s="3014" t="s">
        <v>3527</v>
      </c>
      <c r="F100" s="3014" t="s">
        <v>3560</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3552</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36"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0" t="s">
        <v>1420</v>
      </c>
      <c r="E14" s="2928"/>
      <c r="F14" s="365"/>
      <c r="G14" s="1856"/>
      <c r="H14" s="1205" t="s">
        <v>1035</v>
      </c>
      <c r="I14" s="348" t="s">
        <v>1421</v>
      </c>
      <c r="J14" s="24" t="e">
        <f ca="1">C29</f>
        <v>#N/A</v>
      </c>
      <c r="K14" s="293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31"/>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0" t="s">
        <v>1432</v>
      </c>
      <c r="L17" s="2929"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t="e">
        <f ca="1">ROUND(J14*M22,1)</f>
        <v>#N/A</v>
      </c>
      <c r="K22" s="292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29"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31"/>
      <c r="F30" s="1298"/>
      <c r="G30" s="1856"/>
      <c r="H30" s="746"/>
      <c r="I30" s="747"/>
      <c r="J30" s="748"/>
      <c r="K30" s="749"/>
      <c r="L30" s="750"/>
      <c r="M30" s="751"/>
    </row>
    <row r="31" spans="1:37" ht="18" customHeight="1">
      <c r="A31" s="1205" t="s">
        <v>1035</v>
      </c>
      <c r="B31" s="348" t="s">
        <v>1431</v>
      </c>
      <c r="C31" s="24" t="e">
        <f ca="1">ROUND(IF(项目基本情况!B11="自然人",C5*F31,C32+C33+C34),1)</f>
        <v>#N/A</v>
      </c>
      <c r="D31" s="2930" t="s">
        <v>1432</v>
      </c>
      <c r="E31" s="2929"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2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29" t="s">
        <v>1456</v>
      </c>
      <c r="E37" s="348" t="s">
        <v>1424</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f>市场租金!A13</f>
        <v>7</v>
      </c>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32"/>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966"/>
      <c r="B4" s="3100" t="s">
        <v>1632</v>
      </c>
      <c r="C4" s="3100"/>
      <c r="D4" s="3100"/>
      <c r="E4" s="1966"/>
    </row>
    <row r="5" spans="1:5" ht="16.5" thickTop="1">
      <c r="A5" s="1964"/>
      <c r="B5" s="3098" t="s">
        <v>1624</v>
      </c>
      <c r="C5" s="1967" t="s">
        <v>1625</v>
      </c>
      <c r="D5" s="1044">
        <f ca="1">结果表!H101</f>
        <v>141148</v>
      </c>
      <c r="E5" s="1964"/>
    </row>
    <row r="6" spans="1:5" ht="15.75">
      <c r="A6" s="1964"/>
      <c r="B6" s="3098"/>
      <c r="C6" s="1967" t="s">
        <v>1626</v>
      </c>
      <c r="D6" s="1044" t="str">
        <f ca="1">NUMBERSTRING(INT(D5*10000),2)&amp;"元整"</f>
        <v>壹拾肆亿壹仟壹佰肆拾捌万元整</v>
      </c>
      <c r="E6" s="1964"/>
    </row>
    <row r="7" spans="1:5" ht="15.75">
      <c r="A7" s="1964"/>
      <c r="B7" s="3103"/>
      <c r="C7" s="1968" t="s">
        <v>1627</v>
      </c>
      <c r="D7" s="1045">
        <f ca="1">结果表!H102</f>
        <v>34233</v>
      </c>
      <c r="E7" s="1964"/>
    </row>
    <row r="8" spans="1:5" ht="15.75">
      <c r="A8" s="1964"/>
      <c r="B8" s="3104" t="str">
        <f>结果表!E103</f>
        <v>2.估价师知悉的法定优先受偿款</v>
      </c>
      <c r="C8" s="1969" t="s">
        <v>1628</v>
      </c>
      <c r="D8" s="1045">
        <f>结果表!H103</f>
        <v>0</v>
      </c>
      <c r="E8" s="1964"/>
    </row>
    <row r="9" spans="1:5" ht="15.75">
      <c r="A9" s="1964"/>
      <c r="B9" s="3106"/>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97" t="str">
        <f>结果表!E107</f>
        <v>3.房地产抵押价值</v>
      </c>
      <c r="C13" s="1972" t="s">
        <v>1625</v>
      </c>
      <c r="D13" s="1047">
        <f ca="1">结果表!H107</f>
        <v>141148</v>
      </c>
      <c r="E13" s="1964"/>
    </row>
    <row r="14" spans="1:5" ht="15.75">
      <c r="A14" s="1964"/>
      <c r="B14" s="3098"/>
      <c r="C14" s="1967" t="s">
        <v>1626</v>
      </c>
      <c r="D14" s="1044" t="str">
        <f ca="1">NUMBERSTRING(INT(D13*10000),2)&amp;"元整"</f>
        <v>壹拾肆亿壹仟壹佰肆拾捌万元整</v>
      </c>
      <c r="E14" s="1964"/>
    </row>
    <row r="15" spans="1:5" ht="15">
      <c r="A15" s="1964"/>
      <c r="B15" s="3103"/>
      <c r="C15" s="1968" t="s">
        <v>1636</v>
      </c>
      <c r="D15" s="1056">
        <f ca="1">结果表!H108</f>
        <v>34233</v>
      </c>
      <c r="E15" s="1964"/>
    </row>
    <row r="16" spans="1:5" ht="15">
      <c r="A16" s="1964"/>
      <c r="B16" s="3104" t="str">
        <f>结果表!E109</f>
        <v>——</v>
      </c>
      <c r="C16" s="1972" t="s">
        <v>1637</v>
      </c>
      <c r="D16" s="1973" t="str">
        <f>结果表!H109</f>
        <v>——</v>
      </c>
      <c r="E16" s="1964"/>
    </row>
    <row r="17" spans="1:5" ht="15.75">
      <c r="A17" s="1964"/>
      <c r="B17" s="3105"/>
      <c r="C17" s="1967" t="s">
        <v>1638</v>
      </c>
      <c r="D17" s="1044" t="e">
        <f>NUMBERSTRING(INT(D16*10000),2)&amp;"元整"</f>
        <v>#VALUE!</v>
      </c>
      <c r="E17" s="1964"/>
    </row>
    <row r="18" spans="1:5" ht="15">
      <c r="A18" s="1964"/>
      <c r="B18" s="3106"/>
      <c r="C18" s="1968" t="s">
        <v>1627</v>
      </c>
      <c r="D18" s="1056" t="str">
        <f>结果表!H110</f>
        <v>——</v>
      </c>
      <c r="E18" s="1964"/>
    </row>
    <row r="19" spans="1:5" ht="15.75">
      <c r="A19" s="1964"/>
      <c r="B19" s="3097" t="str">
        <f>结果表!E111</f>
        <v>——</v>
      </c>
      <c r="C19" s="1972" t="s">
        <v>1625</v>
      </c>
      <c r="D19" s="1045" t="str">
        <f>结果表!H111</f>
        <v>——</v>
      </c>
      <c r="E19" s="1964"/>
    </row>
    <row r="20" spans="1:5" ht="15.75">
      <c r="A20" s="1964"/>
      <c r="B20" s="3098"/>
      <c r="C20" s="1967" t="s">
        <v>1638</v>
      </c>
      <c r="D20" s="1044" t="e">
        <f>NUMBERSTRING(INT(D19*10000),2)&amp;"元整"</f>
        <v>#VALUE!</v>
      </c>
      <c r="E20" s="1964"/>
    </row>
    <row r="21" spans="1:5" ht="15.75" thickBot="1">
      <c r="A21" s="1964"/>
      <c r="B21" s="3099"/>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5" t="s">
        <v>2527</v>
      </c>
      <c r="B1" s="2566"/>
      <c r="C1" s="2566"/>
      <c r="D1" s="2566"/>
      <c r="E1" s="2567"/>
    </row>
    <row r="2" spans="1:6" ht="15.75">
      <c r="A2" s="2568" t="s">
        <v>2331</v>
      </c>
      <c r="B2" s="2569">
        <f ca="1">SUMIF(B6:B13,"&lt;&gt;#ref!",B6:B13)</f>
        <v>11955</v>
      </c>
      <c r="C2" s="2570" t="s">
        <v>2520</v>
      </c>
      <c r="D2" s="2571" t="s">
        <v>2521</v>
      </c>
      <c r="E2" s="2572">
        <f>SUM(E6:E13)</f>
        <v>7703.7199999999993</v>
      </c>
    </row>
    <row r="3" spans="1:6" ht="15.75">
      <c r="A3" s="2568" t="s">
        <v>1396</v>
      </c>
      <c r="B3" s="2569">
        <f ca="1">ROUND(B2*10000/E2,0)</f>
        <v>15518</v>
      </c>
      <c r="C3" s="2570" t="s">
        <v>2528</v>
      </c>
      <c r="D3" s="2573"/>
      <c r="E3" s="2574"/>
    </row>
    <row r="4" spans="1:6" ht="15.75">
      <c r="A4" s="2575"/>
      <c r="B4" s="2573"/>
      <c r="C4" s="2573"/>
      <c r="D4" s="2573"/>
      <c r="E4" s="2574"/>
    </row>
    <row r="5" spans="1:6" ht="15">
      <c r="A5" s="2576" t="s">
        <v>2522</v>
      </c>
      <c r="B5" s="3379" t="s">
        <v>2523</v>
      </c>
      <c r="C5" s="3379"/>
      <c r="D5" s="2577"/>
      <c r="E5" s="2578" t="s">
        <v>2524</v>
      </c>
      <c r="F5" s="2579" t="s">
        <v>2525</v>
      </c>
    </row>
    <row r="6" spans="1:6">
      <c r="A6" s="2580">
        <f>'数据-取费表'!AN6</f>
        <v>0</v>
      </c>
      <c r="B6" s="2579" t="e">
        <f ca="1">IF(F6="是",'数据-取费表'!AO6,0)</f>
        <v>#REF!</v>
      </c>
      <c r="C6" s="2570" t="s">
        <v>2520</v>
      </c>
      <c r="D6" s="2573"/>
      <c r="E6" s="2581">
        <f>IF(OR(A6=0,F6="否"),0,'数据-取费表'!K6+'数据-取费表'!S6)</f>
        <v>0</v>
      </c>
      <c r="F6" s="2582" t="s">
        <v>2526</v>
      </c>
    </row>
    <row r="7" spans="1:6">
      <c r="A7" s="2580" t="str">
        <f>'数据-取费表'!AN7</f>
        <v>收益法-车库</v>
      </c>
      <c r="B7" s="2579">
        <f ca="1">IF(F7="是",'数据-取费表'!AO7,0)</f>
        <v>11955</v>
      </c>
      <c r="C7" s="2570" t="s">
        <v>2520</v>
      </c>
      <c r="D7" s="2573"/>
      <c r="E7" s="2581">
        <f>IF(OR(A7=0,F7="否"),0,'数据-取费表'!K7+'数据-取费表'!S7)</f>
        <v>7703.7199999999993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0" t="s">
        <v>1076</v>
      </c>
      <c r="B1" s="3381"/>
      <c r="C1" s="3382"/>
      <c r="D1" s="3383">
        <f>SUM(I10,I15,I20,I21,I23)</f>
        <v>0</v>
      </c>
      <c r="E1" s="3383"/>
      <c r="F1" s="3383"/>
      <c r="G1" s="3383"/>
      <c r="H1" s="3383"/>
      <c r="I1" s="3384"/>
    </row>
    <row r="2" spans="1:9">
      <c r="A2" s="3385" t="s">
        <v>1077</v>
      </c>
      <c r="B2" s="3386" t="s">
        <v>1078</v>
      </c>
      <c r="C2" s="3386"/>
      <c r="D2" s="1305" t="s">
        <v>1079</v>
      </c>
      <c r="E2" s="1305" t="s">
        <v>1080</v>
      </c>
      <c r="F2" s="1305" t="s">
        <v>1081</v>
      </c>
      <c r="G2" s="1305" t="s">
        <v>1082</v>
      </c>
      <c r="H2" s="1305" t="s">
        <v>1083</v>
      </c>
      <c r="I2" s="1306" t="s">
        <v>1084</v>
      </c>
    </row>
    <row r="3" spans="1:9">
      <c r="A3" s="3385"/>
      <c r="B3" s="3386" t="s">
        <v>1085</v>
      </c>
      <c r="C3" s="3386"/>
      <c r="D3" s="1307"/>
      <c r="E3" s="1305"/>
      <c r="F3" s="1308"/>
      <c r="G3" s="1308"/>
      <c r="H3" s="1309"/>
      <c r="I3" s="1310">
        <f>ROUND(D3*E3*F3*G3*H3/10000,0)</f>
        <v>0</v>
      </c>
    </row>
    <row r="4" spans="1:9">
      <c r="A4" s="3385"/>
      <c r="B4" s="3386" t="s">
        <v>1086</v>
      </c>
      <c r="C4" s="3386"/>
      <c r="D4" s="1307"/>
      <c r="E4" s="1305"/>
      <c r="F4" s="1308"/>
      <c r="G4" s="1308"/>
      <c r="H4" s="1309"/>
      <c r="I4" s="1310">
        <f t="shared" ref="I4:I9" si="0">ROUND(D4*E4*F4*G4*H4/10000,0)</f>
        <v>0</v>
      </c>
    </row>
    <row r="5" spans="1:9">
      <c r="A5" s="3385"/>
      <c r="B5" s="3386" t="s">
        <v>1087</v>
      </c>
      <c r="C5" s="3386"/>
      <c r="D5" s="1307"/>
      <c r="E5" s="1305"/>
      <c r="F5" s="1308"/>
      <c r="G5" s="1308"/>
      <c r="H5" s="1309"/>
      <c r="I5" s="1310">
        <f t="shared" si="0"/>
        <v>0</v>
      </c>
    </row>
    <row r="6" spans="1:9">
      <c r="A6" s="3385"/>
      <c r="B6" s="3386" t="s">
        <v>1088</v>
      </c>
      <c r="C6" s="3386"/>
      <c r="D6" s="1307"/>
      <c r="E6" s="1305"/>
      <c r="F6" s="1308"/>
      <c r="G6" s="1308"/>
      <c r="H6" s="1309"/>
      <c r="I6" s="1310">
        <f t="shared" si="0"/>
        <v>0</v>
      </c>
    </row>
    <row r="7" spans="1:9">
      <c r="A7" s="3385"/>
      <c r="B7" s="3386" t="s">
        <v>1089</v>
      </c>
      <c r="C7" s="3386"/>
      <c r="D7" s="1307"/>
      <c r="E7" s="1305"/>
      <c r="F7" s="1308"/>
      <c r="G7" s="1308"/>
      <c r="H7" s="1309"/>
      <c r="I7" s="1310">
        <f t="shared" si="0"/>
        <v>0</v>
      </c>
    </row>
    <row r="8" spans="1:9">
      <c r="A8" s="3385"/>
      <c r="B8" s="3386" t="s">
        <v>1090</v>
      </c>
      <c r="C8" s="3386"/>
      <c r="D8" s="1307"/>
      <c r="E8" s="1305"/>
      <c r="F8" s="1308"/>
      <c r="G8" s="1308"/>
      <c r="H8" s="1309"/>
      <c r="I8" s="1310">
        <f t="shared" si="0"/>
        <v>0</v>
      </c>
    </row>
    <row r="9" spans="1:9">
      <c r="A9" s="3385"/>
      <c r="B9" s="3386" t="s">
        <v>1091</v>
      </c>
      <c r="C9" s="3386"/>
      <c r="D9" s="1307"/>
      <c r="E9" s="1305"/>
      <c r="F9" s="1308"/>
      <c r="G9" s="1308"/>
      <c r="H9" s="1309"/>
      <c r="I9" s="1310">
        <f t="shared" si="0"/>
        <v>0</v>
      </c>
    </row>
    <row r="10" spans="1:9">
      <c r="A10" s="3385"/>
      <c r="B10" s="3387" t="s">
        <v>1092</v>
      </c>
      <c r="C10" s="3387"/>
      <c r="D10" s="1311"/>
      <c r="E10" s="1311" t="e">
        <f>ROUND(D1*10000/D10/H9,0)</f>
        <v>#DIV/0!</v>
      </c>
      <c r="F10" s="1312"/>
      <c r="G10" s="1312"/>
      <c r="H10" s="1313"/>
      <c r="I10" s="1314">
        <f>SUM(I3:I9)</f>
        <v>0</v>
      </c>
    </row>
    <row r="11" spans="1:9" ht="14.25">
      <c r="A11" s="3385" t="s">
        <v>1093</v>
      </c>
      <c r="B11" s="3386" t="s">
        <v>1094</v>
      </c>
      <c r="C11" s="3386"/>
      <c r="D11" s="1307" t="s">
        <v>1095</v>
      </c>
      <c r="E11" s="1307" t="s">
        <v>1096</v>
      </c>
      <c r="F11" s="1308" t="s">
        <v>1097</v>
      </c>
      <c r="G11" s="1308" t="s">
        <v>1083</v>
      </c>
      <c r="H11" s="1315" t="s">
        <v>1098</v>
      </c>
      <c r="I11" s="1306" t="s">
        <v>1084</v>
      </c>
    </row>
    <row r="12" spans="1:9">
      <c r="A12" s="3385"/>
      <c r="B12" s="3386" t="s">
        <v>1099</v>
      </c>
      <c r="C12" s="3386"/>
      <c r="D12" s="1307"/>
      <c r="E12" s="1307"/>
      <c r="F12" s="1308"/>
      <c r="G12" s="1309"/>
      <c r="H12" s="1316"/>
      <c r="I12" s="1306">
        <f>ROUND(D12*E12*F12*G12/10000,0)</f>
        <v>0</v>
      </c>
    </row>
    <row r="13" spans="1:9">
      <c r="A13" s="3385"/>
      <c r="B13" s="3386" t="s">
        <v>1100</v>
      </c>
      <c r="C13" s="3386"/>
      <c r="D13" s="1307"/>
      <c r="E13" s="1307"/>
      <c r="F13" s="1308"/>
      <c r="G13" s="1309"/>
      <c r="H13" s="1316"/>
      <c r="I13" s="1306">
        <f>ROUND(D13*E13*F13*G13/10000,0)</f>
        <v>0</v>
      </c>
    </row>
    <row r="14" spans="1:9">
      <c r="A14" s="3385"/>
      <c r="B14" s="3386" t="s">
        <v>1101</v>
      </c>
      <c r="C14" s="3386"/>
      <c r="D14" s="1307"/>
      <c r="E14" s="1307"/>
      <c r="F14" s="1308"/>
      <c r="G14" s="1309"/>
      <c r="H14" s="1316"/>
      <c r="I14" s="1306">
        <f>ROUND(D14*E14*F14*G14/10000,0)</f>
        <v>0</v>
      </c>
    </row>
    <row r="15" spans="1:9">
      <c r="A15" s="3385"/>
      <c r="B15" s="3387" t="s">
        <v>1092</v>
      </c>
      <c r="C15" s="3387"/>
      <c r="D15" s="1311"/>
      <c r="E15" s="1311">
        <f>SUM(E12:E14)</f>
        <v>0</v>
      </c>
      <c r="F15" s="1312"/>
      <c r="G15" s="1309"/>
      <c r="H15" s="1316"/>
      <c r="I15" s="1317">
        <f>SUM(I12:I14)</f>
        <v>0</v>
      </c>
    </row>
    <row r="16" spans="1:9" ht="24">
      <c r="A16" s="3385" t="s">
        <v>1102</v>
      </c>
      <c r="B16" s="3386" t="s">
        <v>1103</v>
      </c>
      <c r="C16" s="3386"/>
      <c r="D16" s="1307" t="s">
        <v>1079</v>
      </c>
      <c r="E16" s="1318" t="s">
        <v>1104</v>
      </c>
      <c r="F16" s="1308" t="s">
        <v>1105</v>
      </c>
      <c r="G16" s="1309" t="s">
        <v>1083</v>
      </c>
      <c r="H16" s="1315" t="s">
        <v>1098</v>
      </c>
      <c r="I16" s="1306" t="s">
        <v>1084</v>
      </c>
    </row>
    <row r="17" spans="1:9" ht="14.25">
      <c r="A17" s="3385"/>
      <c r="B17" s="3386" t="s">
        <v>1106</v>
      </c>
      <c r="C17" s="3386"/>
      <c r="D17" s="1307"/>
      <c r="E17" s="1307"/>
      <c r="F17" s="1308"/>
      <c r="G17" s="1309"/>
      <c r="H17" s="1319"/>
      <c r="I17" s="1320">
        <f>ROUND(D17*E17*F17*G17/10000,0)</f>
        <v>0</v>
      </c>
    </row>
    <row r="18" spans="1:9" ht="14.25">
      <c r="A18" s="3385"/>
      <c r="B18" s="3386" t="s">
        <v>1107</v>
      </c>
      <c r="C18" s="3386"/>
      <c r="D18" s="1307"/>
      <c r="E18" s="1307"/>
      <c r="F18" s="1308"/>
      <c r="G18" s="1309"/>
      <c r="H18" s="1319"/>
      <c r="I18" s="1320">
        <f>ROUND(D18*E18*F18*G18/10000,0)</f>
        <v>0</v>
      </c>
    </row>
    <row r="19" spans="1:9" ht="14.25">
      <c r="A19" s="3385"/>
      <c r="B19" s="3386" t="s">
        <v>1108</v>
      </c>
      <c r="C19" s="3386"/>
      <c r="D19" s="1307"/>
      <c r="E19" s="1307"/>
      <c r="F19" s="1308"/>
      <c r="G19" s="1309"/>
      <c r="H19" s="1319"/>
      <c r="I19" s="1320">
        <f>ROUND(D19*E19*F19*G19/10000,0)</f>
        <v>0</v>
      </c>
    </row>
    <row r="20" spans="1:9">
      <c r="A20" s="3385"/>
      <c r="B20" s="3387" t="s">
        <v>1092</v>
      </c>
      <c r="C20" s="3387"/>
      <c r="D20" s="1311">
        <f>SUM(D17:D19)</f>
        <v>0</v>
      </c>
      <c r="E20" s="1311"/>
      <c r="F20" s="1312"/>
      <c r="G20" s="1309"/>
      <c r="H20" s="1316"/>
      <c r="I20" s="1317">
        <f>SUM(I17:I19)</f>
        <v>0</v>
      </c>
    </row>
    <row r="21" spans="1:9">
      <c r="A21" s="3385" t="s">
        <v>1109</v>
      </c>
      <c r="B21" s="3389"/>
      <c r="C21" s="3389"/>
      <c r="D21" s="3389"/>
      <c r="E21" s="3389"/>
      <c r="F21" s="3389"/>
      <c r="G21" s="3389"/>
      <c r="H21" s="1770">
        <v>0.1</v>
      </c>
      <c r="I21" s="1314">
        <f>ROUND(I10*H21,0)</f>
        <v>0</v>
      </c>
    </row>
    <row r="22" spans="1:9" ht="14.25">
      <c r="A22" s="3390" t="s">
        <v>1110</v>
      </c>
      <c r="B22" s="3391"/>
      <c r="C22" s="3392"/>
      <c r="D22" s="1321" t="s">
        <v>1111</v>
      </c>
      <c r="E22" s="1321" t="s">
        <v>1112</v>
      </c>
      <c r="F22" s="1322" t="s">
        <v>1113</v>
      </c>
      <c r="G22" s="1322" t="s">
        <v>1114</v>
      </c>
      <c r="H22" s="1315" t="s">
        <v>1115</v>
      </c>
      <c r="I22" s="1306" t="s">
        <v>1116</v>
      </c>
    </row>
    <row r="23" spans="1:9" ht="14.25" thickBot="1">
      <c r="A23" s="3393"/>
      <c r="B23" s="3394"/>
      <c r="C23" s="3395"/>
      <c r="D23" s="1323"/>
      <c r="E23" s="1323"/>
      <c r="F23" s="1323"/>
      <c r="G23" s="1324"/>
      <c r="H23" s="1325"/>
      <c r="I23" s="1326">
        <f>ROUND(E23*D23*F23*(1-G23)/10000,0)</f>
        <v>0</v>
      </c>
    </row>
    <row r="26" spans="1:9">
      <c r="A26" s="1327" t="s">
        <v>1117</v>
      </c>
      <c r="B26" s="1327"/>
      <c r="C26" s="1327"/>
      <c r="D26" s="1327"/>
      <c r="E26" s="3396">
        <f>C27-C30-C31-C32</f>
        <v>0</v>
      </c>
      <c r="F26" s="3396"/>
      <c r="G26" s="3396"/>
      <c r="H26" s="1742" t="s">
        <v>1341</v>
      </c>
    </row>
    <row r="27" spans="1:9">
      <c r="A27" s="1328">
        <v>1</v>
      </c>
      <c r="B27" s="1329" t="s">
        <v>1118</v>
      </c>
      <c r="C27" s="1329">
        <f>C28+C29</f>
        <v>0</v>
      </c>
      <c r="D27" s="1329"/>
      <c r="E27" s="3397"/>
      <c r="F27" s="3397"/>
      <c r="G27" s="3397"/>
    </row>
    <row r="28" spans="1:9">
      <c r="A28" s="1330" t="s">
        <v>1119</v>
      </c>
      <c r="B28" s="1329" t="s">
        <v>1120</v>
      </c>
      <c r="C28" s="1329"/>
      <c r="D28" s="1329"/>
      <c r="E28" s="3397"/>
      <c r="F28" s="3397"/>
      <c r="G28" s="339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88"/>
      <c r="F32" s="3388"/>
      <c r="G32" s="3388"/>
    </row>
    <row r="33" spans="1:7" hidden="1">
      <c r="A33" s="3398" t="s">
        <v>1129</v>
      </c>
      <c r="B33" s="3399"/>
      <c r="C33" s="3399"/>
      <c r="D33" s="3400"/>
      <c r="E33" s="3396"/>
      <c r="F33" s="3396"/>
      <c r="G33" s="3396"/>
    </row>
    <row r="34" spans="1:7" hidden="1">
      <c r="A34" s="1332">
        <v>1</v>
      </c>
      <c r="B34" s="1329" t="s">
        <v>1130</v>
      </c>
      <c r="C34" s="1329"/>
      <c r="D34" s="1329"/>
      <c r="E34" s="3397"/>
      <c r="F34" s="3397"/>
      <c r="G34" s="3397"/>
    </row>
    <row r="35" spans="1:7" hidden="1">
      <c r="A35" s="1332">
        <v>2</v>
      </c>
      <c r="B35" s="1329" t="s">
        <v>1131</v>
      </c>
      <c r="C35" s="1329"/>
      <c r="D35" s="1329"/>
      <c r="E35" s="3397"/>
      <c r="F35" s="3397"/>
      <c r="G35" s="3397"/>
    </row>
    <row r="36" spans="1:7" hidden="1">
      <c r="A36" s="1332">
        <v>3</v>
      </c>
      <c r="B36" s="1329" t="s">
        <v>1132</v>
      </c>
      <c r="C36" s="1329"/>
      <c r="D36" s="1329"/>
      <c r="E36" s="3397"/>
      <c r="F36" s="3397"/>
      <c r="G36" s="3397"/>
    </row>
    <row r="37" spans="1:7" hidden="1">
      <c r="A37" s="1332">
        <v>4</v>
      </c>
      <c r="B37" s="1329" t="s">
        <v>1133</v>
      </c>
      <c r="C37" s="1329"/>
      <c r="D37" s="1329"/>
      <c r="E37" s="3397"/>
      <c r="F37" s="3397"/>
      <c r="G37" s="3397"/>
    </row>
    <row r="38" spans="1:7" hidden="1">
      <c r="A38" s="3398" t="s">
        <v>1134</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2530</v>
      </c>
      <c r="C1" s="1639" t="s">
        <v>2531</v>
      </c>
      <c r="D1" s="1626"/>
      <c r="E1" s="2587"/>
      <c r="F1" s="2588" t="s">
        <v>2532</v>
      </c>
      <c r="G1" s="1636" t="s">
        <v>2533</v>
      </c>
      <c r="H1" s="1635"/>
      <c r="I1" s="1635"/>
      <c r="J1" s="1635"/>
      <c r="K1" s="1637"/>
      <c r="L1" s="1638"/>
      <c r="M1" s="1639"/>
      <c r="N1" s="1639"/>
      <c r="O1" s="1639"/>
      <c r="P1" s="2589"/>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0"/>
      <c r="D2" s="1369" t="e">
        <f ca="1">SUMIF(INDIRECT("'"&amp;F2&amp;"'"&amp;"!A:A"),"承租人权益价值",INDIRECT("'"&amp;F2&amp;"'"&amp;"!c:c"))</f>
        <v>#REF!</v>
      </c>
      <c r="E2" s="2591" t="s">
        <v>2534</v>
      </c>
      <c r="F2" s="2592"/>
      <c r="G2" s="1128"/>
      <c r="H2" s="1128"/>
      <c r="I2" s="1128"/>
      <c r="J2" s="1128"/>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2535</v>
      </c>
      <c r="D3" s="400">
        <f>IF(D1="",'数据-汇总表'!E3,SUMIF('数据-汇总表'!$C19:$C33,D1,'数据-汇总表'!$E19:$E33))</f>
        <v>41231.079999999994</v>
      </c>
      <c r="E3" s="1128"/>
      <c r="F3" s="2599"/>
      <c r="G3" s="1128"/>
      <c r="H3" s="1128"/>
      <c r="I3" s="1128"/>
      <c r="J3" s="1128"/>
      <c r="K3" s="2593"/>
      <c r="L3" s="2594"/>
      <c r="M3" s="2595"/>
      <c r="N3" s="2595"/>
      <c r="O3" s="2595"/>
      <c r="P3" s="2596"/>
      <c r="Q3" s="2597"/>
      <c r="R3" s="2597"/>
      <c r="S3" s="2597"/>
      <c r="T3" s="2597"/>
      <c r="U3" s="2597"/>
      <c r="V3" s="2597"/>
      <c r="W3" s="2597"/>
      <c r="X3" s="2597"/>
      <c r="Y3" s="2597"/>
      <c r="Z3" s="2597"/>
      <c r="AA3" s="2597"/>
      <c r="AB3" s="2597"/>
      <c r="AC3" s="1286"/>
    </row>
    <row r="4" spans="1:29" ht="15">
      <c r="A4" s="402" t="s">
        <v>2536</v>
      </c>
      <c r="B4" s="403"/>
      <c r="C4" s="3326" t="s">
        <v>2537</v>
      </c>
      <c r="D4" s="3327"/>
      <c r="E4" s="3328" t="s">
        <v>2538</v>
      </c>
      <c r="F4" s="3329"/>
      <c r="G4" s="3326" t="s">
        <v>2539</v>
      </c>
      <c r="H4" s="3327"/>
      <c r="I4" s="3326" t="s">
        <v>2540</v>
      </c>
      <c r="J4" s="3327"/>
      <c r="K4" s="2600" t="s">
        <v>2541</v>
      </c>
      <c r="L4" s="1134"/>
      <c r="M4" s="1135"/>
      <c r="N4" s="1135"/>
      <c r="O4" s="1135"/>
      <c r="P4" s="3372" t="s">
        <v>2542</v>
      </c>
      <c r="Q4" s="3373"/>
      <c r="R4" s="3370" t="s">
        <v>2538</v>
      </c>
      <c r="S4" s="3371"/>
      <c r="T4" s="3370" t="s">
        <v>2539</v>
      </c>
      <c r="U4" s="3371"/>
      <c r="V4" s="3339" t="s">
        <v>2540</v>
      </c>
      <c r="W4" s="3339"/>
      <c r="X4" s="1818"/>
      <c r="Y4" s="3370" t="s">
        <v>2542</v>
      </c>
      <c r="Z4" s="3371"/>
      <c r="AA4" s="3369" t="s">
        <v>2538</v>
      </c>
      <c r="AB4" s="3369" t="s">
        <v>2539</v>
      </c>
      <c r="AC4" s="3369" t="s">
        <v>2540</v>
      </c>
    </row>
    <row r="5" spans="1:29" ht="15">
      <c r="A5" s="405"/>
      <c r="B5" s="406"/>
      <c r="C5" s="3316" t="s">
        <v>2543</v>
      </c>
      <c r="D5" s="3317"/>
      <c r="E5" s="3314" t="s">
        <v>2544</v>
      </c>
      <c r="F5" s="3315"/>
      <c r="G5" s="3316" t="s">
        <v>2545</v>
      </c>
      <c r="H5" s="3317"/>
      <c r="I5" s="3316" t="s">
        <v>2546</v>
      </c>
      <c r="J5" s="3317"/>
      <c r="K5" s="260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260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SUMIF(58:58,YEAR(E7)&amp;"-"&amp;MONTH(E7),59:59)</f>
        <v>0</v>
      </c>
      <c r="G7" s="413"/>
      <c r="H7" s="412">
        <f>SUMIF(58:58,YEAR(G7)&amp;"-"&amp;MONTH(G7),59:59)</f>
        <v>0</v>
      </c>
      <c r="I7" s="413"/>
      <c r="J7" s="412">
        <f>SUMIF(58:58,YEAR(I7)&amp;"-"&amp;MONTH(I7),59:59)</f>
        <v>0</v>
      </c>
      <c r="K7" s="2602"/>
      <c r="L7" s="1136"/>
      <c r="M7" s="1137"/>
      <c r="N7" s="1137"/>
      <c r="O7" s="1137"/>
      <c r="P7" s="3308" t="s">
        <v>2550</v>
      </c>
      <c r="Q7" s="3341"/>
      <c r="R7" s="771" t="s">
        <v>23</v>
      </c>
      <c r="S7" s="772">
        <f t="shared" ref="S7:S15" si="0">F7</f>
        <v>0</v>
      </c>
      <c r="T7" s="771" t="s">
        <v>23</v>
      </c>
      <c r="U7" s="772">
        <f t="shared" ref="U7:U15" si="1">H7</f>
        <v>0</v>
      </c>
      <c r="V7" s="771" t="s">
        <v>23</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2603"/>
      <c r="F8" s="414">
        <f>SUMIF(61:61,E8,62:62)-SUMIF(61:61,C8,62:62)+100</f>
        <v>0</v>
      </c>
      <c r="G8" s="415"/>
      <c r="H8" s="412">
        <f>SUMIF(61:61,G8,62:62)-SUMIF(61:61,C8,62:62)+100</f>
        <v>0</v>
      </c>
      <c r="I8" s="2603"/>
      <c r="J8" s="412">
        <f>SUMIF(61:61,I8,62:62)-SUMIF(61:61,C8,62:62)+100</f>
        <v>0</v>
      </c>
      <c r="K8" s="2602"/>
      <c r="L8" s="1136"/>
      <c r="M8" s="1137"/>
      <c r="N8" s="1137"/>
      <c r="O8" s="1137"/>
      <c r="P8" s="3308" t="s">
        <v>2553</v>
      </c>
      <c r="Q8" s="3309"/>
      <c r="R8" s="771" t="s">
        <v>23</v>
      </c>
      <c r="S8" s="772">
        <f t="shared" si="0"/>
        <v>0</v>
      </c>
      <c r="T8" s="771" t="s">
        <v>23</v>
      </c>
      <c r="U8" s="772">
        <f t="shared" si="1"/>
        <v>0</v>
      </c>
      <c r="V8" s="771" t="s">
        <v>23</v>
      </c>
      <c r="W8" s="772">
        <f t="shared" si="2"/>
        <v>0</v>
      </c>
      <c r="X8" s="773"/>
      <c r="Y8" s="3308" t="s">
        <v>2553</v>
      </c>
      <c r="Z8" s="3309"/>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22"/>
      <c r="Q11" s="1800" t="str">
        <f t="shared" si="6"/>
        <v>容积率</v>
      </c>
      <c r="R11" s="771" t="s">
        <v>21</v>
      </c>
      <c r="S11" s="772" t="e">
        <f t="shared" si="0"/>
        <v>#N/A</v>
      </c>
      <c r="T11" s="771" t="s">
        <v>21</v>
      </c>
      <c r="U11" s="772" t="e">
        <f t="shared" si="1"/>
        <v>#N/A</v>
      </c>
      <c r="V11" s="771" t="s">
        <v>21</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6"/>
      <c r="M12" s="1137"/>
      <c r="N12" s="1137"/>
      <c r="O12" s="1137"/>
      <c r="P12" s="3322"/>
      <c r="Q12" s="1800">
        <f t="shared" si="6"/>
        <v>111</v>
      </c>
      <c r="R12" s="771" t="s">
        <v>21</v>
      </c>
      <c r="S12" s="772">
        <f t="shared" si="0"/>
        <v>100</v>
      </c>
      <c r="T12" s="771" t="s">
        <v>21</v>
      </c>
      <c r="U12" s="772">
        <f t="shared" si="1"/>
        <v>100</v>
      </c>
      <c r="V12" s="771" t="s">
        <v>21</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4"/>
      <c r="M13" s="1135"/>
      <c r="N13" s="1135"/>
      <c r="O13" s="1135"/>
      <c r="P13" s="3322"/>
      <c r="Q13" s="1800">
        <f t="shared" si="6"/>
        <v>111</v>
      </c>
      <c r="R13" s="771" t="s">
        <v>21</v>
      </c>
      <c r="S13" s="772">
        <f t="shared" si="0"/>
        <v>100</v>
      </c>
      <c r="T13" s="771" t="s">
        <v>21</v>
      </c>
      <c r="U13" s="772">
        <f t="shared" si="1"/>
        <v>100</v>
      </c>
      <c r="V13" s="771" t="s">
        <v>21</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4"/>
      <c r="M14" s="1135"/>
      <c r="N14" s="1135"/>
      <c r="O14" s="1135"/>
      <c r="P14" s="3322"/>
      <c r="Q14" s="1800">
        <f t="shared" si="6"/>
        <v>111</v>
      </c>
      <c r="R14" s="771" t="s">
        <v>21</v>
      </c>
      <c r="S14" s="772">
        <f t="shared" si="0"/>
        <v>100</v>
      </c>
      <c r="T14" s="771" t="s">
        <v>21</v>
      </c>
      <c r="U14" s="772">
        <f t="shared" si="1"/>
        <v>100</v>
      </c>
      <c r="V14" s="771" t="s">
        <v>21</v>
      </c>
      <c r="W14" s="772">
        <f t="shared" si="2"/>
        <v>100</v>
      </c>
      <c r="X14" s="773"/>
      <c r="Y14" s="3162"/>
      <c r="Z14" s="55">
        <f t="shared" si="7"/>
        <v>111</v>
      </c>
      <c r="AA14" s="774">
        <f t="shared" si="3"/>
        <v>1</v>
      </c>
      <c r="AB14" s="774">
        <f t="shared" si="4"/>
        <v>1</v>
      </c>
      <c r="AC14" s="774">
        <f t="shared" si="5"/>
        <v>1</v>
      </c>
    </row>
    <row r="15" spans="1:29" ht="99.75">
      <c r="A15" s="441" t="s">
        <v>2560</v>
      </c>
      <c r="B15" s="69" t="s">
        <v>2087</v>
      </c>
      <c r="C15" s="2607"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42" t="s">
        <v>2561</v>
      </c>
      <c r="Q15" s="1815" t="str">
        <f t="shared" si="6"/>
        <v>居住社区成熟度</v>
      </c>
      <c r="R15" s="775" t="s">
        <v>21</v>
      </c>
      <c r="S15" s="776">
        <f t="shared" si="0"/>
        <v>100</v>
      </c>
      <c r="T15" s="775" t="s">
        <v>21</v>
      </c>
      <c r="U15" s="776">
        <f t="shared" si="1"/>
        <v>100</v>
      </c>
      <c r="V15" s="775" t="s">
        <v>21</v>
      </c>
      <c r="W15" s="776">
        <f t="shared" si="2"/>
        <v>100</v>
      </c>
      <c r="X15" s="1818"/>
      <c r="Y15" s="3344" t="s">
        <v>2561</v>
      </c>
      <c r="Z15" s="1819" t="str">
        <f t="shared" si="7"/>
        <v>居住社区成熟度</v>
      </c>
      <c r="AA15" s="1816">
        <f t="shared" si="3"/>
        <v>1</v>
      </c>
      <c r="AB15" s="1816">
        <f t="shared" si="4"/>
        <v>1</v>
      </c>
      <c r="AC15" s="1816">
        <f t="shared" si="5"/>
        <v>1</v>
      </c>
    </row>
    <row r="16" spans="1:29" ht="15">
      <c r="A16" s="429"/>
      <c r="B16" s="447"/>
      <c r="C16" s="448"/>
      <c r="D16" s="449"/>
      <c r="E16" s="2608"/>
      <c r="F16" s="449"/>
      <c r="G16" s="2609"/>
      <c r="H16" s="451"/>
      <c r="I16" s="2609"/>
      <c r="J16" s="449"/>
      <c r="K16" s="2610"/>
      <c r="L16" s="1144"/>
      <c r="M16" s="1135"/>
      <c r="N16" s="1135"/>
      <c r="O16" s="1135"/>
      <c r="P16" s="3343"/>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43"/>
      <c r="Q17" s="1815" t="str">
        <f>B17</f>
        <v>交通便捷度</v>
      </c>
      <c r="R17" s="775" t="s">
        <v>21</v>
      </c>
      <c r="S17" s="776">
        <f>F17</f>
        <v>100</v>
      </c>
      <c r="T17" s="775" t="s">
        <v>21</v>
      </c>
      <c r="U17" s="776">
        <f>H17</f>
        <v>100</v>
      </c>
      <c r="V17" s="775" t="s">
        <v>21</v>
      </c>
      <c r="W17" s="776">
        <f>J17</f>
        <v>100</v>
      </c>
      <c r="X17" s="1818"/>
      <c r="Y17" s="3345"/>
      <c r="Z17" s="1819" t="str">
        <f>Q17</f>
        <v>交通便捷度</v>
      </c>
      <c r="AA17" s="1816">
        <f t="shared" si="3"/>
        <v>1</v>
      </c>
      <c r="AB17" s="1816">
        <f t="shared" si="4"/>
        <v>1</v>
      </c>
      <c r="AC17" s="1816">
        <f t="shared" si="5"/>
        <v>1</v>
      </c>
    </row>
    <row r="18" spans="1:29" ht="15">
      <c r="A18" s="429"/>
      <c r="B18" s="457"/>
      <c r="C18" s="2612"/>
      <c r="D18" s="451"/>
      <c r="E18" s="2613"/>
      <c r="F18" s="451"/>
      <c r="G18" s="2614"/>
      <c r="H18" s="449"/>
      <c r="I18" s="2614"/>
      <c r="J18" s="449"/>
      <c r="K18" s="2610"/>
      <c r="L18" s="1144"/>
      <c r="M18" s="1135"/>
      <c r="N18" s="1135"/>
      <c r="O18" s="1135"/>
      <c r="P18" s="3343"/>
      <c r="Q18" s="1815"/>
      <c r="R18" s="775"/>
      <c r="S18" s="776"/>
      <c r="T18" s="775"/>
      <c r="U18" s="776"/>
      <c r="V18" s="775"/>
      <c r="W18" s="776"/>
      <c r="X18" s="1818"/>
      <c r="Y18" s="3345"/>
      <c r="Z18" s="1819"/>
      <c r="AA18" s="1816">
        <v>1</v>
      </c>
      <c r="AB18" s="1816">
        <v>1</v>
      </c>
      <c r="AC18" s="1816">
        <v>1</v>
      </c>
    </row>
    <row r="19" spans="1:29" ht="42.75">
      <c r="A19" s="429"/>
      <c r="B19" s="452" t="s">
        <v>2097</v>
      </c>
      <c r="C19" s="2611"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43"/>
      <c r="Q19" s="1815" t="str">
        <f>B19</f>
        <v>公共配套设施</v>
      </c>
      <c r="R19" s="775" t="s">
        <v>21</v>
      </c>
      <c r="S19" s="776">
        <f>F19</f>
        <v>100</v>
      </c>
      <c r="T19" s="775" t="s">
        <v>21</v>
      </c>
      <c r="U19" s="776">
        <f>H19</f>
        <v>100</v>
      </c>
      <c r="V19" s="775" t="s">
        <v>21</v>
      </c>
      <c r="W19" s="776">
        <f>J19</f>
        <v>100</v>
      </c>
      <c r="X19" s="1818"/>
      <c r="Y19" s="3345"/>
      <c r="Z19" s="1819" t="str">
        <f>Q19</f>
        <v>公共配套设施</v>
      </c>
      <c r="AA19" s="1816">
        <f t="shared" si="3"/>
        <v>1</v>
      </c>
      <c r="AB19" s="1816">
        <f t="shared" si="4"/>
        <v>1</v>
      </c>
      <c r="AC19" s="1816">
        <f t="shared" si="5"/>
        <v>1</v>
      </c>
    </row>
    <row r="20" spans="1:29" ht="15">
      <c r="A20" s="429"/>
      <c r="B20" s="457"/>
      <c r="C20" s="448"/>
      <c r="D20" s="449"/>
      <c r="E20" s="2608"/>
      <c r="F20" s="449"/>
      <c r="G20" s="2609"/>
      <c r="H20" s="449"/>
      <c r="I20" s="2609"/>
      <c r="J20" s="449"/>
      <c r="K20" s="2610"/>
      <c r="L20" s="1144"/>
      <c r="M20" s="1135"/>
      <c r="N20" s="1135"/>
      <c r="O20" s="1135"/>
      <c r="P20" s="3343"/>
      <c r="Q20" s="1815"/>
      <c r="R20" s="775"/>
      <c r="S20" s="776"/>
      <c r="T20" s="775"/>
      <c r="U20" s="776"/>
      <c r="V20" s="775"/>
      <c r="W20" s="776"/>
      <c r="X20" s="1818"/>
      <c r="Y20" s="3345"/>
      <c r="Z20" s="1819"/>
      <c r="AA20" s="1816">
        <v>1</v>
      </c>
      <c r="AB20" s="1816">
        <v>1</v>
      </c>
      <c r="AC20" s="1816">
        <v>1</v>
      </c>
    </row>
    <row r="21" spans="1:29" ht="28.5">
      <c r="A21" s="429"/>
      <c r="B21" s="1388" t="s">
        <v>2100</v>
      </c>
      <c r="C21" s="2611"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49"/>
      <c r="G22" s="2615"/>
      <c r="H22" s="449"/>
      <c r="I22" s="448"/>
      <c r="J22" s="449"/>
      <c r="K22" s="2616"/>
      <c r="L22" s="1144"/>
      <c r="M22" s="1135"/>
      <c r="N22" s="1135"/>
      <c r="O22" s="1135"/>
      <c r="P22" s="3343"/>
      <c r="Q22" s="1815"/>
      <c r="R22" s="775"/>
      <c r="S22" s="776"/>
      <c r="T22" s="775"/>
      <c r="U22" s="776"/>
      <c r="V22" s="775"/>
      <c r="W22" s="776"/>
      <c r="X22" s="1818"/>
      <c r="Y22" s="3345"/>
      <c r="Z22" s="1819"/>
      <c r="AA22" s="1816">
        <v>1</v>
      </c>
      <c r="AB22" s="1816">
        <v>1</v>
      </c>
      <c r="AC22" s="1816">
        <v>1</v>
      </c>
    </row>
    <row r="23" spans="1:29" ht="57">
      <c r="A23" s="429"/>
      <c r="B23" s="452" t="s">
        <v>2104</v>
      </c>
      <c r="C23" s="2611"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43"/>
      <c r="Q23" s="1815" t="str">
        <f>B23</f>
        <v>自然及人文环境</v>
      </c>
      <c r="R23" s="775" t="s">
        <v>21</v>
      </c>
      <c r="S23" s="776">
        <f>F23</f>
        <v>100</v>
      </c>
      <c r="T23" s="775" t="s">
        <v>21</v>
      </c>
      <c r="U23" s="776">
        <f>H23</f>
        <v>100</v>
      </c>
      <c r="V23" s="775" t="s">
        <v>21</v>
      </c>
      <c r="W23" s="776">
        <f>J23</f>
        <v>100</v>
      </c>
      <c r="X23" s="1818"/>
      <c r="Y23" s="3345"/>
      <c r="Z23" s="1819" t="str">
        <f>Q23</f>
        <v>自然及人文环境</v>
      </c>
      <c r="AA23" s="1816">
        <f>D23/F23</f>
        <v>1</v>
      </c>
      <c r="AB23" s="1816">
        <f>D23/H23</f>
        <v>1</v>
      </c>
      <c r="AC23" s="1816">
        <f>D23/J23</f>
        <v>1</v>
      </c>
    </row>
    <row r="24" spans="1:29" ht="15">
      <c r="A24" s="429"/>
      <c r="B24" s="457"/>
      <c r="C24" s="448"/>
      <c r="D24" s="449"/>
      <c r="E24" s="2608"/>
      <c r="F24" s="449"/>
      <c r="G24" s="2609"/>
      <c r="H24" s="449"/>
      <c r="I24" s="2609"/>
      <c r="J24" s="449"/>
      <c r="K24" s="2610"/>
      <c r="L24" s="1144"/>
      <c r="M24" s="1135"/>
      <c r="N24" s="1135"/>
      <c r="O24" s="1135"/>
      <c r="P24" s="3343"/>
      <c r="Q24" s="1815"/>
      <c r="R24" s="775"/>
      <c r="S24" s="776"/>
      <c r="T24" s="775"/>
      <c r="U24" s="776"/>
      <c r="V24" s="775"/>
      <c r="W24" s="776"/>
      <c r="X24" s="1818"/>
      <c r="Y24" s="3345"/>
      <c r="Z24" s="1819"/>
      <c r="AA24" s="1816">
        <v>1</v>
      </c>
      <c r="AB24" s="1816">
        <v>1</v>
      </c>
      <c r="AC24" s="1816">
        <v>1</v>
      </c>
    </row>
    <row r="25" spans="1:29" ht="15">
      <c r="A25" s="429"/>
      <c r="B25" s="423" t="s">
        <v>2562</v>
      </c>
      <c r="C25" s="461"/>
      <c r="D25" s="436">
        <v>100</v>
      </c>
      <c r="E25" s="2617"/>
      <c r="F25" s="436">
        <f>SUMIF(86:86,E25,87:87)-SUMIF(86:86,C25,87:87)+100</f>
        <v>100</v>
      </c>
      <c r="G25" s="2618"/>
      <c r="H25" s="436">
        <f>SUMIF(86:86,G25,87:87)-SUMIF(86:86,C25,87:87)+100</f>
        <v>100</v>
      </c>
      <c r="I25" s="2618"/>
      <c r="J25" s="436">
        <f>SUMIF(86:86,I25,87:87)-SUMIF(86:86,C25,87:87)+100</f>
        <v>100</v>
      </c>
      <c r="K25" s="427"/>
      <c r="L25" s="1144"/>
      <c r="M25" s="1135"/>
      <c r="N25" s="1135"/>
      <c r="O25" s="1135"/>
      <c r="P25" s="3343"/>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45"/>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17"/>
      <c r="F26" s="436">
        <f>SUMIF(88:88,E26,89:89)-SUMIF(88:88,C26,89:89)+100</f>
        <v>100</v>
      </c>
      <c r="G26" s="2618"/>
      <c r="H26" s="436">
        <f>SUMIF(88:88,G26,89:89)-SUMIF(88:88,C26,89:89)+100</f>
        <v>100</v>
      </c>
      <c r="I26" s="2618"/>
      <c r="J26" s="436">
        <f>SUMIF(88:88,I26,89:89)-SUMIF(88:88,C26,89:89)+100</f>
        <v>100</v>
      </c>
      <c r="K26" s="427"/>
      <c r="L26" s="1144"/>
      <c r="M26" s="1135"/>
      <c r="N26" s="1135"/>
      <c r="O26" s="1135"/>
      <c r="P26" s="3343"/>
      <c r="Q26" s="1815" t="str">
        <f t="shared" si="11"/>
        <v>朝向</v>
      </c>
      <c r="R26" s="775" t="s">
        <v>21</v>
      </c>
      <c r="S26" s="776">
        <f t="shared" si="12"/>
        <v>100</v>
      </c>
      <c r="T26" s="775" t="s">
        <v>21</v>
      </c>
      <c r="U26" s="776">
        <f t="shared" si="13"/>
        <v>100</v>
      </c>
      <c r="V26" s="775" t="s">
        <v>21</v>
      </c>
      <c r="W26" s="776">
        <f t="shared" si="14"/>
        <v>100</v>
      </c>
      <c r="X26" s="1818"/>
      <c r="Y26" s="3345"/>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5"/>
      <c r="L27" s="1136"/>
      <c r="M27" s="1137"/>
      <c r="N27" s="1137"/>
      <c r="O27" s="1137"/>
      <c r="P27" s="3343"/>
      <c r="Q27" s="1800">
        <f t="shared" si="11"/>
        <v>111</v>
      </c>
      <c r="R27" s="771" t="s">
        <v>21</v>
      </c>
      <c r="S27" s="772">
        <f t="shared" si="12"/>
        <v>100</v>
      </c>
      <c r="T27" s="771" t="s">
        <v>21</v>
      </c>
      <c r="U27" s="772">
        <f t="shared" si="13"/>
        <v>100</v>
      </c>
      <c r="V27" s="771" t="s">
        <v>21</v>
      </c>
      <c r="W27" s="772">
        <f t="shared" si="14"/>
        <v>100</v>
      </c>
      <c r="X27" s="773"/>
      <c r="Y27" s="3345"/>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9"/>
      <c r="H28" s="436">
        <f>SUMIF(92:92,G28,93:93)-SUMIF(92:92,C28,93:93)+100</f>
        <v>100</v>
      </c>
      <c r="I28" s="435"/>
      <c r="J28" s="436">
        <f>SUMIF(92:92,I28,93:93)-SUMIF(92:92,C28,93:93)+100</f>
        <v>100</v>
      </c>
      <c r="K28" s="2605"/>
      <c r="L28" s="1144"/>
      <c r="M28" s="1135"/>
      <c r="N28" s="1135"/>
      <c r="O28" s="1135"/>
      <c r="P28" s="3343"/>
      <c r="Q28" s="1815">
        <f t="shared" si="11"/>
        <v>111</v>
      </c>
      <c r="R28" s="775" t="s">
        <v>21</v>
      </c>
      <c r="S28" s="776">
        <f t="shared" si="12"/>
        <v>100</v>
      </c>
      <c r="T28" s="775" t="s">
        <v>21</v>
      </c>
      <c r="U28" s="776">
        <f t="shared" si="13"/>
        <v>100</v>
      </c>
      <c r="V28" s="775" t="s">
        <v>21</v>
      </c>
      <c r="W28" s="776">
        <f t="shared" si="14"/>
        <v>100</v>
      </c>
      <c r="X28" s="1818"/>
      <c r="Y28" s="3345"/>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9"/>
      <c r="H29" s="436">
        <f>SUMIF(94:94,G29,95:95)-SUMIF(94:94,C29,95:95)+100</f>
        <v>100</v>
      </c>
      <c r="I29" s="435"/>
      <c r="J29" s="436">
        <f>SUMIF(94:94,I29,95:95)-SUMIF(94:94,C29,95:95)+100</f>
        <v>100</v>
      </c>
      <c r="K29" s="2605"/>
      <c r="L29" s="1144"/>
      <c r="M29" s="1135"/>
      <c r="N29" s="1135"/>
      <c r="O29" s="1135"/>
      <c r="P29" s="3343"/>
      <c r="Q29" s="1815">
        <f t="shared" si="11"/>
        <v>111</v>
      </c>
      <c r="R29" s="775" t="s">
        <v>21</v>
      </c>
      <c r="S29" s="776">
        <f t="shared" si="12"/>
        <v>100</v>
      </c>
      <c r="T29" s="775" t="s">
        <v>21</v>
      </c>
      <c r="U29" s="776">
        <f t="shared" si="13"/>
        <v>100</v>
      </c>
      <c r="V29" s="775" t="s">
        <v>21</v>
      </c>
      <c r="W29" s="776">
        <f t="shared" si="14"/>
        <v>100</v>
      </c>
      <c r="X29" s="1818"/>
      <c r="Y29" s="3345"/>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9"/>
      <c r="H30" s="436">
        <f>SUMIF(96:96,G30,97:97)-SUMIF(96:96,C30,97:97)+100</f>
        <v>100</v>
      </c>
      <c r="I30" s="435"/>
      <c r="J30" s="436">
        <f>SUMIF(96:96,I30,97:97)-SUMIF(96:96,C30,97:97)+100</f>
        <v>100</v>
      </c>
      <c r="K30" s="2605"/>
      <c r="L30" s="1144"/>
      <c r="M30" s="1135"/>
      <c r="N30" s="1135"/>
      <c r="O30" s="1135"/>
      <c r="P30" s="3343"/>
      <c r="Q30" s="1815">
        <f t="shared" si="11"/>
        <v>111</v>
      </c>
      <c r="R30" s="775" t="s">
        <v>21</v>
      </c>
      <c r="S30" s="776">
        <f t="shared" si="12"/>
        <v>100</v>
      </c>
      <c r="T30" s="775" t="s">
        <v>21</v>
      </c>
      <c r="U30" s="776">
        <f t="shared" si="13"/>
        <v>100</v>
      </c>
      <c r="V30" s="775" t="s">
        <v>21</v>
      </c>
      <c r="W30" s="776">
        <f t="shared" si="14"/>
        <v>100</v>
      </c>
      <c r="X30" s="1818"/>
      <c r="Y30" s="3345"/>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0"/>
      <c r="H31" s="439">
        <f>SUMIF(98:98,G31,99:99)-SUMIF(98:98,C31,99:99)+100</f>
        <v>100</v>
      </c>
      <c r="I31" s="438"/>
      <c r="J31" s="439">
        <f>SUMIF(98:98,I31,99:99)-SUMIF(98:98,C31,99:99)+100</f>
        <v>100</v>
      </c>
      <c r="K31" s="2605"/>
      <c r="L31" s="1144"/>
      <c r="M31" s="1135"/>
      <c r="N31" s="1135"/>
      <c r="O31" s="1135"/>
      <c r="P31" s="3343"/>
      <c r="Q31" s="1815">
        <f t="shared" si="11"/>
        <v>111</v>
      </c>
      <c r="R31" s="775" t="s">
        <v>21</v>
      </c>
      <c r="S31" s="776">
        <f t="shared" si="12"/>
        <v>100</v>
      </c>
      <c r="T31" s="775" t="s">
        <v>21</v>
      </c>
      <c r="U31" s="776">
        <f t="shared" si="13"/>
        <v>100</v>
      </c>
      <c r="V31" s="775" t="s">
        <v>21</v>
      </c>
      <c r="W31" s="776">
        <f t="shared" si="14"/>
        <v>100</v>
      </c>
      <c r="X31" s="1818"/>
      <c r="Y31" s="3345"/>
      <c r="Z31" s="1819">
        <f t="shared" si="18"/>
        <v>111</v>
      </c>
      <c r="AA31" s="1816">
        <f t="shared" si="15"/>
        <v>1</v>
      </c>
      <c r="AB31" s="1816">
        <f t="shared" si="16"/>
        <v>1</v>
      </c>
      <c r="AC31" s="1816">
        <f t="shared" si="17"/>
        <v>1</v>
      </c>
    </row>
    <row r="32" spans="1:29" ht="15">
      <c r="A32" s="441" t="s">
        <v>2564</v>
      </c>
      <c r="B32" s="71" t="s">
        <v>2565</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4"/>
      <c r="M32" s="1135"/>
      <c r="N32" s="1135"/>
      <c r="O32" s="1135"/>
      <c r="P32" s="3346" t="s">
        <v>2566</v>
      </c>
      <c r="Q32" s="1815" t="str">
        <f t="shared" si="11"/>
        <v>建筑类型</v>
      </c>
      <c r="R32" s="775" t="s">
        <v>21</v>
      </c>
      <c r="S32" s="776">
        <f t="shared" si="12"/>
        <v>100</v>
      </c>
      <c r="T32" s="775" t="s">
        <v>21</v>
      </c>
      <c r="U32" s="776">
        <f t="shared" si="13"/>
        <v>100</v>
      </c>
      <c r="V32" s="775" t="s">
        <v>21</v>
      </c>
      <c r="W32" s="776">
        <f t="shared" si="14"/>
        <v>100</v>
      </c>
      <c r="X32" s="1818"/>
      <c r="Y32" s="3349"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2"/>
      <c r="M33" s="1145"/>
      <c r="N33" s="1145"/>
      <c r="O33" s="1145"/>
      <c r="P33" s="3347"/>
      <c r="Q33" s="777" t="str">
        <f t="shared" si="11"/>
        <v>项目建筑规模</v>
      </c>
      <c r="R33" s="778" t="s">
        <v>21</v>
      </c>
      <c r="S33" s="779" t="e">
        <f t="shared" si="12"/>
        <v>#N/A</v>
      </c>
      <c r="T33" s="778" t="s">
        <v>21</v>
      </c>
      <c r="U33" s="779" t="e">
        <f t="shared" si="13"/>
        <v>#N/A</v>
      </c>
      <c r="V33" s="778" t="s">
        <v>21</v>
      </c>
      <c r="W33" s="779" t="e">
        <f t="shared" si="14"/>
        <v>#N/A</v>
      </c>
      <c r="X33" s="780"/>
      <c r="Y33" s="3349"/>
      <c r="Z33" s="781" t="str">
        <f t="shared" si="18"/>
        <v>项目建筑规模</v>
      </c>
      <c r="AA33" s="1816" t="e">
        <f t="shared" si="15"/>
        <v>#N/A</v>
      </c>
      <c r="AB33" s="1816" t="e">
        <f t="shared" si="16"/>
        <v>#N/A</v>
      </c>
      <c r="AC33" s="1816" t="e">
        <f t="shared" si="17"/>
        <v>#N/A</v>
      </c>
    </row>
    <row r="34" spans="1:29" ht="15">
      <c r="A34" s="473"/>
      <c r="B34" s="423" t="s">
        <v>2568</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4"/>
      <c r="M34" s="1135"/>
      <c r="N34" s="1135"/>
      <c r="O34" s="1135"/>
      <c r="P34" s="3347"/>
      <c r="Q34" s="1815" t="str">
        <f t="shared" si="11"/>
        <v>建筑结构</v>
      </c>
      <c r="R34" s="775" t="s">
        <v>21</v>
      </c>
      <c r="S34" s="776">
        <f t="shared" si="12"/>
        <v>100</v>
      </c>
      <c r="T34" s="775" t="s">
        <v>21</v>
      </c>
      <c r="U34" s="776">
        <f t="shared" si="13"/>
        <v>100</v>
      </c>
      <c r="V34" s="775" t="s">
        <v>21</v>
      </c>
      <c r="W34" s="776">
        <f t="shared" si="14"/>
        <v>100</v>
      </c>
      <c r="X34" s="1818"/>
      <c r="Y34" s="3349"/>
      <c r="Z34" s="1819" t="str">
        <f t="shared" si="18"/>
        <v>建筑结构</v>
      </c>
      <c r="AA34" s="1816">
        <f t="shared" si="15"/>
        <v>1</v>
      </c>
      <c r="AB34" s="1816">
        <f t="shared" si="16"/>
        <v>1</v>
      </c>
      <c r="AC34" s="1816">
        <f t="shared" si="17"/>
        <v>1</v>
      </c>
    </row>
    <row r="35" spans="1:29" ht="15">
      <c r="A35" s="473"/>
      <c r="B35" s="423" t="s">
        <v>2569</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4"/>
      <c r="M35" s="1135"/>
      <c r="N35" s="1135"/>
      <c r="O35" s="1135"/>
      <c r="P35" s="3347"/>
      <c r="Q35" s="1815" t="str">
        <f t="shared" si="11"/>
        <v>建筑品质</v>
      </c>
      <c r="R35" s="775" t="s">
        <v>21</v>
      </c>
      <c r="S35" s="776">
        <f t="shared" si="12"/>
        <v>100</v>
      </c>
      <c r="T35" s="775" t="s">
        <v>21</v>
      </c>
      <c r="U35" s="776">
        <f t="shared" si="13"/>
        <v>100</v>
      </c>
      <c r="V35" s="775" t="s">
        <v>21</v>
      </c>
      <c r="W35" s="776">
        <f t="shared" si="14"/>
        <v>100</v>
      </c>
      <c r="X35" s="1818"/>
      <c r="Y35" s="3349"/>
      <c r="Z35" s="1819" t="str">
        <f t="shared" si="18"/>
        <v>建筑品质</v>
      </c>
      <c r="AA35" s="1816">
        <f t="shared" si="15"/>
        <v>1</v>
      </c>
      <c r="AB35" s="1816">
        <f t="shared" si="16"/>
        <v>1</v>
      </c>
      <c r="AC35" s="1816">
        <f t="shared" si="17"/>
        <v>1</v>
      </c>
    </row>
    <row r="36" spans="1:29" ht="15">
      <c r="A36" s="473"/>
      <c r="B36" s="423" t="s">
        <v>2570</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4"/>
      <c r="M36" s="1135"/>
      <c r="N36" s="1135"/>
      <c r="O36" s="1135"/>
      <c r="P36" s="3347"/>
      <c r="Q36" s="1815" t="str">
        <f t="shared" si="11"/>
        <v>公共部分装修</v>
      </c>
      <c r="R36" s="775" t="s">
        <v>21</v>
      </c>
      <c r="S36" s="776">
        <f t="shared" si="12"/>
        <v>100</v>
      </c>
      <c r="T36" s="775" t="s">
        <v>21</v>
      </c>
      <c r="U36" s="776">
        <f t="shared" si="13"/>
        <v>100</v>
      </c>
      <c r="V36" s="775" t="s">
        <v>21</v>
      </c>
      <c r="W36" s="776">
        <f t="shared" si="14"/>
        <v>100</v>
      </c>
      <c r="X36" s="1818"/>
      <c r="Y36" s="3349"/>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47"/>
      <c r="Q37" s="1800" t="str">
        <f t="shared" si="11"/>
        <v>成新度</v>
      </c>
      <c r="R37" s="771" t="s">
        <v>21</v>
      </c>
      <c r="S37" s="772" t="e">
        <f t="shared" si="12"/>
        <v>#N/A</v>
      </c>
      <c r="T37" s="771" t="s">
        <v>21</v>
      </c>
      <c r="U37" s="772" t="e">
        <f t="shared" si="13"/>
        <v>#N/A</v>
      </c>
      <c r="V37" s="771" t="s">
        <v>21</v>
      </c>
      <c r="W37" s="772" t="e">
        <f t="shared" si="14"/>
        <v>#N/A</v>
      </c>
      <c r="X37" s="773"/>
      <c r="Y37" s="3349"/>
      <c r="Z37" s="55" t="str">
        <f t="shared" si="18"/>
        <v>成新度</v>
      </c>
      <c r="AA37" s="774" t="e">
        <f t="shared" si="15"/>
        <v>#N/A</v>
      </c>
      <c r="AB37" s="774" t="e">
        <f t="shared" si="16"/>
        <v>#N/A</v>
      </c>
      <c r="AC37" s="774" t="e">
        <f t="shared" si="17"/>
        <v>#N/A</v>
      </c>
    </row>
    <row r="38" spans="1:29" ht="15">
      <c r="A38" s="473"/>
      <c r="B38" s="423" t="s">
        <v>2572</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4"/>
      <c r="M38" s="1135"/>
      <c r="N38" s="1135"/>
      <c r="O38" s="1135"/>
      <c r="P38" s="3347" t="s">
        <v>2566</v>
      </c>
      <c r="Q38" s="1815" t="str">
        <f t="shared" si="11"/>
        <v>物业管理</v>
      </c>
      <c r="R38" s="775" t="s">
        <v>21</v>
      </c>
      <c r="S38" s="776">
        <f t="shared" si="12"/>
        <v>100</v>
      </c>
      <c r="T38" s="775" t="s">
        <v>21</v>
      </c>
      <c r="U38" s="776">
        <f t="shared" si="13"/>
        <v>100</v>
      </c>
      <c r="V38" s="775" t="s">
        <v>21</v>
      </c>
      <c r="W38" s="776">
        <f t="shared" si="14"/>
        <v>100</v>
      </c>
      <c r="X38" s="1818"/>
      <c r="Y38" s="3349" t="s">
        <v>2566</v>
      </c>
      <c r="Z38" s="1819" t="str">
        <f t="shared" si="18"/>
        <v>物业管理</v>
      </c>
      <c r="AA38" s="1816">
        <f t="shared" si="15"/>
        <v>1</v>
      </c>
      <c r="AB38" s="1816">
        <f t="shared" si="16"/>
        <v>1</v>
      </c>
      <c r="AC38" s="1816">
        <f t="shared" si="17"/>
        <v>1</v>
      </c>
    </row>
    <row r="39" spans="1:29" ht="15">
      <c r="A39" s="473"/>
      <c r="B39" s="423" t="s">
        <v>2573</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4"/>
      <c r="M39" s="1135"/>
      <c r="N39" s="1135"/>
      <c r="O39" s="1135"/>
      <c r="P39" s="3347"/>
      <c r="Q39" s="1815" t="str">
        <f t="shared" si="11"/>
        <v>市政基础设施</v>
      </c>
      <c r="R39" s="775" t="s">
        <v>21</v>
      </c>
      <c r="S39" s="776">
        <f t="shared" si="12"/>
        <v>100</v>
      </c>
      <c r="T39" s="775" t="s">
        <v>21</v>
      </c>
      <c r="U39" s="776">
        <f t="shared" si="13"/>
        <v>100</v>
      </c>
      <c r="V39" s="775" t="s">
        <v>21</v>
      </c>
      <c r="W39" s="776">
        <f t="shared" si="14"/>
        <v>100</v>
      </c>
      <c r="X39" s="1818"/>
      <c r="Y39" s="3349"/>
      <c r="Z39" s="1819" t="str">
        <f t="shared" si="18"/>
        <v>市政基础设施</v>
      </c>
      <c r="AA39" s="1816">
        <f t="shared" si="15"/>
        <v>1</v>
      </c>
      <c r="AB39" s="1816">
        <f t="shared" si="16"/>
        <v>1</v>
      </c>
      <c r="AC39" s="1816">
        <f t="shared" si="17"/>
        <v>1</v>
      </c>
    </row>
    <row r="40" spans="1:29" ht="15">
      <c r="A40" s="473"/>
      <c r="B40" s="423" t="s">
        <v>2574</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4"/>
      <c r="M40" s="1135"/>
      <c r="N40" s="1135"/>
      <c r="O40" s="1135"/>
      <c r="P40" s="3347"/>
      <c r="Q40" s="1815" t="str">
        <f t="shared" si="11"/>
        <v>房型</v>
      </c>
      <c r="R40" s="775" t="s">
        <v>21</v>
      </c>
      <c r="S40" s="776">
        <f t="shared" si="12"/>
        <v>100</v>
      </c>
      <c r="T40" s="775" t="s">
        <v>21</v>
      </c>
      <c r="U40" s="776">
        <f t="shared" si="13"/>
        <v>100</v>
      </c>
      <c r="V40" s="775" t="s">
        <v>21</v>
      </c>
      <c r="W40" s="776">
        <f t="shared" si="14"/>
        <v>100</v>
      </c>
      <c r="X40" s="1818"/>
      <c r="Y40" s="3349"/>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2"/>
      <c r="M41" s="1145"/>
      <c r="N41" s="1145"/>
      <c r="O41" s="1145"/>
      <c r="P41" s="3347"/>
      <c r="Q41" s="777" t="str">
        <f t="shared" si="11"/>
        <v>单套/主力户型建筑面积</v>
      </c>
      <c r="R41" s="778" t="s">
        <v>21</v>
      </c>
      <c r="S41" s="779">
        <f t="shared" si="12"/>
        <v>100</v>
      </c>
      <c r="T41" s="778" t="s">
        <v>21</v>
      </c>
      <c r="U41" s="779">
        <f t="shared" si="13"/>
        <v>100</v>
      </c>
      <c r="V41" s="778" t="s">
        <v>21</v>
      </c>
      <c r="W41" s="779">
        <f t="shared" si="14"/>
        <v>100</v>
      </c>
      <c r="X41" s="780"/>
      <c r="Y41" s="3349"/>
      <c r="Z41" s="781" t="str">
        <f t="shared" si="18"/>
        <v>单套/主力户型建筑面积</v>
      </c>
      <c r="AA41" s="1816">
        <f t="shared" si="15"/>
        <v>1</v>
      </c>
      <c r="AB41" s="1816">
        <f t="shared" si="16"/>
        <v>1</v>
      </c>
      <c r="AC41" s="1816">
        <f t="shared" si="17"/>
        <v>1</v>
      </c>
    </row>
    <row r="42" spans="1:29" ht="15">
      <c r="A42" s="473"/>
      <c r="B42" s="423" t="s">
        <v>2576</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4"/>
      <c r="M42" s="1135"/>
      <c r="N42" s="1135"/>
      <c r="O42" s="1135"/>
      <c r="P42" s="3347"/>
      <c r="Q42" s="1815" t="str">
        <f t="shared" si="11"/>
        <v>内部装修</v>
      </c>
      <c r="R42" s="775" t="s">
        <v>21</v>
      </c>
      <c r="S42" s="776">
        <f t="shared" si="12"/>
        <v>100</v>
      </c>
      <c r="T42" s="775" t="s">
        <v>21</v>
      </c>
      <c r="U42" s="776">
        <f t="shared" si="13"/>
        <v>100</v>
      </c>
      <c r="V42" s="775" t="s">
        <v>21</v>
      </c>
      <c r="W42" s="776">
        <f t="shared" si="14"/>
        <v>100</v>
      </c>
      <c r="X42" s="1818"/>
      <c r="Y42" s="3349"/>
      <c r="Z42" s="1819" t="str">
        <f t="shared" si="18"/>
        <v>内部装修</v>
      </c>
      <c r="AA42" s="1816">
        <f t="shared" si="15"/>
        <v>1</v>
      </c>
      <c r="AB42" s="1816">
        <f t="shared" si="16"/>
        <v>1</v>
      </c>
      <c r="AC42" s="1816">
        <f t="shared" si="17"/>
        <v>1</v>
      </c>
    </row>
    <row r="43" spans="1:29" ht="15">
      <c r="A43" s="473"/>
      <c r="B43" s="423" t="s">
        <v>2577</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4"/>
      <c r="M43" s="1135"/>
      <c r="N43" s="1135"/>
      <c r="O43" s="1135"/>
      <c r="P43" s="3347"/>
      <c r="Q43" s="1815" t="str">
        <f t="shared" si="11"/>
        <v>内部装修维护情况</v>
      </c>
      <c r="R43" s="775" t="s">
        <v>21</v>
      </c>
      <c r="S43" s="776">
        <f t="shared" si="12"/>
        <v>100</v>
      </c>
      <c r="T43" s="775" t="s">
        <v>21</v>
      </c>
      <c r="U43" s="776">
        <f t="shared" si="13"/>
        <v>100</v>
      </c>
      <c r="V43" s="775" t="s">
        <v>21</v>
      </c>
      <c r="W43" s="776">
        <f t="shared" si="14"/>
        <v>100</v>
      </c>
      <c r="X43" s="1818"/>
      <c r="Y43" s="3349"/>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6"/>
      <c r="M44" s="1137"/>
      <c r="N44" s="1137"/>
      <c r="O44" s="1137"/>
      <c r="P44" s="3347"/>
      <c r="Q44" s="1800">
        <f t="shared" si="11"/>
        <v>111</v>
      </c>
      <c r="R44" s="771" t="s">
        <v>21</v>
      </c>
      <c r="S44" s="772">
        <f t="shared" si="12"/>
        <v>100</v>
      </c>
      <c r="T44" s="771" t="s">
        <v>21</v>
      </c>
      <c r="U44" s="772">
        <f t="shared" si="13"/>
        <v>100</v>
      </c>
      <c r="V44" s="771" t="s">
        <v>21</v>
      </c>
      <c r="W44" s="772">
        <f t="shared" si="14"/>
        <v>100</v>
      </c>
      <c r="X44" s="773"/>
      <c r="Y44" s="3349"/>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4"/>
      <c r="M45" s="1135"/>
      <c r="N45" s="1135"/>
      <c r="O45" s="1135"/>
      <c r="P45" s="3347"/>
      <c r="Q45" s="1815">
        <f t="shared" si="11"/>
        <v>111</v>
      </c>
      <c r="R45" s="775" t="s">
        <v>21</v>
      </c>
      <c r="S45" s="776">
        <f t="shared" si="12"/>
        <v>100</v>
      </c>
      <c r="T45" s="775" t="s">
        <v>21</v>
      </c>
      <c r="U45" s="776">
        <f t="shared" si="13"/>
        <v>100</v>
      </c>
      <c r="V45" s="775" t="s">
        <v>21</v>
      </c>
      <c r="W45" s="776">
        <f t="shared" si="14"/>
        <v>100</v>
      </c>
      <c r="X45" s="1818"/>
      <c r="Y45" s="3349"/>
      <c r="Z45" s="1819">
        <f t="shared" si="18"/>
        <v>111</v>
      </c>
      <c r="AA45" s="1816">
        <f t="shared" si="15"/>
        <v>1</v>
      </c>
      <c r="AB45" s="1816">
        <f t="shared" si="16"/>
        <v>1</v>
      </c>
      <c r="AC45" s="1816">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4"/>
      <c r="M46" s="1135"/>
      <c r="N46" s="1135"/>
      <c r="O46" s="1135"/>
      <c r="P46" s="3348"/>
      <c r="Q46" s="1815">
        <f t="shared" si="11"/>
        <v>111</v>
      </c>
      <c r="R46" s="775" t="s">
        <v>20</v>
      </c>
      <c r="S46" s="776">
        <f t="shared" si="12"/>
        <v>100</v>
      </c>
      <c r="T46" s="775" t="s">
        <v>20</v>
      </c>
      <c r="U46" s="776">
        <f t="shared" si="13"/>
        <v>100</v>
      </c>
      <c r="V46" s="775" t="s">
        <v>20</v>
      </c>
      <c r="W46" s="776">
        <f t="shared" si="14"/>
        <v>100</v>
      </c>
      <c r="X46" s="1818"/>
      <c r="Y46" s="3350"/>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5"/>
      <c r="L47" s="1147"/>
      <c r="M47" s="1148"/>
      <c r="N47" s="1135"/>
      <c r="O47" s="1148"/>
      <c r="P47" s="3351" t="str">
        <f>A47</f>
        <v>成交单价（元/平方米）</v>
      </c>
      <c r="Q47" s="3351"/>
      <c r="R47" s="3352">
        <f>E47</f>
        <v>0</v>
      </c>
      <c r="S47" s="3352"/>
      <c r="T47" s="3352">
        <f>G47</f>
        <v>0</v>
      </c>
      <c r="U47" s="3352"/>
      <c r="V47" s="3352">
        <f>I47</f>
        <v>0</v>
      </c>
      <c r="W47" s="3352"/>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6"/>
      <c r="L48" s="1147"/>
      <c r="M48" s="1148"/>
      <c r="N48" s="1148"/>
      <c r="O48" s="1148"/>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27"/>
      <c r="L49" s="1147"/>
      <c r="M49" s="1148"/>
      <c r="N49" s="1148"/>
      <c r="O49" s="1148"/>
      <c r="P49" s="3376" t="str">
        <f>A49</f>
        <v>估价对象XX用房的比较价值（楼面单价，元/平方米）</v>
      </c>
      <c r="Q49" s="3377"/>
      <c r="R49" s="3378" t="e">
        <f>IF(F1="售价",ROUND(AVERAGE(R48:V48),0),ROUND(AVERAGE(R48:V48),1))</f>
        <v>#DIV/0!</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9"/>
    </row>
    <row r="55" spans="1:29" s="503" customFormat="1">
      <c r="A55" s="1149"/>
      <c r="B55" s="1150"/>
      <c r="C55" s="1154"/>
      <c r="D55" s="1149"/>
      <c r="E55" s="1149"/>
      <c r="F55" s="1149"/>
      <c r="G55" s="1149"/>
      <c r="H55" s="1149"/>
      <c r="I55" s="1149"/>
      <c r="J55" s="1149"/>
      <c r="K55" s="1152"/>
      <c r="L55" s="1153"/>
      <c r="M55" s="1149"/>
      <c r="N55" s="1149"/>
      <c r="O55" s="1149"/>
      <c r="P55" s="2629"/>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0"/>
      <c r="Q57" s="505"/>
    </row>
    <row r="58" spans="1:29" s="509" customFormat="1" ht="15">
      <c r="A58" s="506" t="s">
        <v>2585</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1"/>
      <c r="C59" s="1578">
        <v>100</v>
      </c>
      <c r="D59" s="512"/>
      <c r="E59" s="513"/>
      <c r="F59" s="513"/>
      <c r="G59" s="513"/>
      <c r="H59" s="513"/>
      <c r="I59" s="513"/>
      <c r="J59" s="513"/>
      <c r="K59" s="513"/>
      <c r="L59" s="513"/>
      <c r="M59" s="514"/>
      <c r="N59" s="513"/>
      <c r="O59" s="514"/>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2587</v>
      </c>
      <c r="B61" s="511"/>
      <c r="C61" s="523" t="s">
        <v>2588</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f>C9</f>
        <v>0</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4"/>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4"/>
      <c r="Q67" s="505"/>
    </row>
    <row r="68" spans="1:17" ht="15">
      <c r="A68" s="535"/>
      <c r="B68" s="549"/>
      <c r="C68" s="550"/>
      <c r="D68" s="550"/>
      <c r="E68" s="550"/>
      <c r="F68" s="550"/>
      <c r="G68" s="550"/>
      <c r="H68" s="550"/>
      <c r="I68" s="550"/>
      <c r="J68" s="550"/>
      <c r="K68" s="551"/>
      <c r="L68" s="552"/>
      <c r="M68" s="553"/>
      <c r="N68" s="1156"/>
      <c r="O68" s="1156"/>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61"/>
      <c r="E73" s="561"/>
      <c r="F73" s="561"/>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4"/>
      <c r="Q81" s="505"/>
    </row>
    <row r="82" spans="1:17" ht="15.75" thickTop="1">
      <c r="A82" s="535"/>
      <c r="B82" s="547" t="s">
        <v>2100</v>
      </c>
      <c r="C82" s="540" t="s">
        <v>2605</v>
      </c>
      <c r="D82" s="540" t="s">
        <v>2606</v>
      </c>
      <c r="E82" s="540" t="s">
        <v>2607</v>
      </c>
      <c r="F82" s="540" t="s">
        <v>2608</v>
      </c>
      <c r="G82" s="540" t="s">
        <v>2609</v>
      </c>
      <c r="H82" s="540"/>
      <c r="I82" s="540"/>
      <c r="J82" s="540"/>
      <c r="K82" s="540"/>
      <c r="L82" s="540"/>
      <c r="M82" s="1386"/>
      <c r="N82" s="1157"/>
      <c r="O82" s="1157"/>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4"/>
      <c r="Q85" s="505"/>
    </row>
    <row r="86" spans="1:17" s="117" customFormat="1" ht="15.75" thickTop="1">
      <c r="A86" s="580"/>
      <c r="B86" s="539" t="s">
        <v>2611</v>
      </c>
      <c r="C86" s="555"/>
      <c r="D86" s="555"/>
      <c r="E86" s="555"/>
      <c r="F86" s="555"/>
      <c r="G86" s="555"/>
      <c r="H86" s="555"/>
      <c r="I86" s="555"/>
      <c r="J86" s="555"/>
      <c r="K86" s="555"/>
      <c r="L86" s="581"/>
      <c r="M86" s="582"/>
      <c r="N86" s="1155"/>
      <c r="O86" s="1155"/>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4"/>
      <c r="Q87" s="505"/>
    </row>
    <row r="88" spans="1:17" s="117" customFormat="1" ht="15.75" thickTop="1">
      <c r="A88" s="580"/>
      <c r="B88" s="539" t="s">
        <v>2612</v>
      </c>
      <c r="C88" s="555"/>
      <c r="D88" s="555"/>
      <c r="E88" s="555"/>
      <c r="F88" s="2639"/>
      <c r="G88" s="555"/>
      <c r="H88" s="555"/>
      <c r="I88" s="555"/>
      <c r="J88" s="555"/>
      <c r="K88" s="555"/>
      <c r="L88" s="555"/>
      <c r="M88" s="582"/>
      <c r="N88" s="1155"/>
      <c r="O88" s="1155"/>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4"/>
      <c r="Q89" s="505"/>
    </row>
    <row r="90" spans="1:17" s="472" customFormat="1" ht="15.75" thickTop="1">
      <c r="A90" s="554"/>
      <c r="B90" s="539">
        <f>B27</f>
        <v>111</v>
      </c>
      <c r="C90" s="555"/>
      <c r="D90" s="555"/>
      <c r="E90" s="555"/>
      <c r="F90" s="555"/>
      <c r="G90" s="555"/>
      <c r="H90" s="556"/>
      <c r="I90" s="556"/>
      <c r="J90" s="556"/>
      <c r="K90" s="556"/>
      <c r="L90" s="557"/>
      <c r="M90" s="558"/>
      <c r="N90" s="1158"/>
      <c r="O90" s="1158"/>
      <c r="P90" s="2635"/>
      <c r="Q90" s="560"/>
    </row>
    <row r="91" spans="1:17" s="472" customFormat="1" ht="15.75" thickBot="1">
      <c r="A91" s="554"/>
      <c r="B91" s="544"/>
      <c r="C91" s="561"/>
      <c r="D91" s="561"/>
      <c r="E91" s="561"/>
      <c r="F91" s="561"/>
      <c r="G91" s="561"/>
      <c r="H91" s="563"/>
      <c r="I91" s="563"/>
      <c r="J91" s="563"/>
      <c r="K91" s="563"/>
      <c r="L91" s="563"/>
      <c r="M91" s="564"/>
      <c r="N91" s="1158"/>
      <c r="O91" s="1158"/>
      <c r="P91" s="2635"/>
      <c r="Q91" s="560"/>
    </row>
    <row r="92" spans="1:17" ht="15.75" thickTop="1">
      <c r="A92" s="535"/>
      <c r="B92" s="539">
        <f>B28</f>
        <v>111</v>
      </c>
      <c r="C92" s="555"/>
      <c r="D92" s="555"/>
      <c r="E92" s="555"/>
      <c r="F92" s="555"/>
      <c r="G92" s="584"/>
      <c r="H92" s="584"/>
      <c r="I92" s="584"/>
      <c r="J92" s="584"/>
      <c r="K92" s="585"/>
      <c r="L92" s="586"/>
      <c r="M92" s="587"/>
      <c r="N92" s="1156"/>
      <c r="O92" s="1156"/>
      <c r="P92" s="2634"/>
      <c r="Q92" s="505"/>
    </row>
    <row r="93" spans="1:17" ht="15.75" thickBot="1">
      <c r="A93" s="535"/>
      <c r="B93" s="544"/>
      <c r="C93" s="561"/>
      <c r="D93" s="537"/>
      <c r="E93" s="537"/>
      <c r="F93" s="537"/>
      <c r="G93" s="537"/>
      <c r="H93" s="537"/>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61"/>
      <c r="E95" s="561"/>
      <c r="F95" s="561"/>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71"/>
      <c r="D97" s="571"/>
      <c r="E97" s="571"/>
      <c r="F97" s="571"/>
      <c r="G97" s="537"/>
      <c r="H97" s="537"/>
      <c r="I97" s="537"/>
      <c r="J97" s="537"/>
      <c r="K97" s="537"/>
      <c r="L97" s="537"/>
      <c r="M97" s="538"/>
      <c r="N97" s="1157"/>
      <c r="O97" s="1157"/>
      <c r="P97" s="2634"/>
      <c r="Q97" s="505"/>
    </row>
    <row r="98" spans="1:17" ht="15.75" thickTop="1">
      <c r="A98" s="535"/>
      <c r="B98" s="547">
        <f>B31</f>
        <v>111</v>
      </c>
      <c r="C98" s="588"/>
      <c r="D98" s="588"/>
      <c r="E98" s="588"/>
      <c r="F98" s="588"/>
      <c r="G98" s="588"/>
      <c r="H98" s="588"/>
      <c r="I98" s="588"/>
      <c r="J98" s="588"/>
      <c r="K98" s="589"/>
      <c r="L98" s="590"/>
      <c r="M98" s="591"/>
      <c r="N98" s="1156"/>
      <c r="O98" s="1156"/>
      <c r="P98" s="2634"/>
      <c r="Q98" s="505"/>
    </row>
    <row r="99" spans="1:17" ht="15.75" thickBot="1">
      <c r="A99" s="2640"/>
      <c r="B99" s="570"/>
      <c r="C99" s="592"/>
      <c r="D99" s="592"/>
      <c r="E99" s="592"/>
      <c r="F99" s="592"/>
      <c r="G99" s="592"/>
      <c r="H99" s="592"/>
      <c r="I99" s="592"/>
      <c r="J99" s="592"/>
      <c r="K99" s="592"/>
      <c r="L99" s="592"/>
      <c r="M99" s="593"/>
      <c r="N99" s="1157"/>
      <c r="O99" s="1157"/>
      <c r="P99" s="2634"/>
      <c r="Q99" s="505"/>
    </row>
    <row r="100" spans="1:17">
      <c r="A100" s="528" t="s">
        <v>2564</v>
      </c>
      <c r="B100" s="529" t="s">
        <v>2613</v>
      </c>
      <c r="C100" s="531"/>
      <c r="D100" s="531"/>
      <c r="E100" s="531"/>
      <c r="F100" s="531"/>
      <c r="G100" s="531"/>
      <c r="H100" s="531"/>
      <c r="I100" s="531"/>
      <c r="J100" s="531"/>
      <c r="K100" s="532"/>
      <c r="L100" s="533"/>
      <c r="M100" s="534"/>
      <c r="N100" s="1156"/>
      <c r="O100" s="1156"/>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4"/>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4"/>
      <c r="Q102" s="505"/>
    </row>
    <row r="103" spans="1:17" s="472" customFormat="1">
      <c r="A103" s="594"/>
      <c r="B103" s="595"/>
      <c r="C103" s="596"/>
      <c r="D103" s="596"/>
      <c r="E103" s="596"/>
      <c r="F103" s="596"/>
      <c r="G103" s="596"/>
      <c r="H103" s="596"/>
      <c r="I103" s="596"/>
      <c r="J103" s="597"/>
      <c r="K103" s="597"/>
      <c r="L103" s="598"/>
      <c r="M103" s="599"/>
      <c r="N103" s="1158"/>
      <c r="O103" s="1158"/>
      <c r="P103" s="2635"/>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5"/>
      <c r="Q104" s="560"/>
    </row>
    <row r="105" spans="1:17" ht="15" thickTop="1">
      <c r="A105" s="600"/>
      <c r="B105" s="539" t="s">
        <v>2615</v>
      </c>
      <c r="C105" s="555"/>
      <c r="D105" s="555"/>
      <c r="E105" s="584"/>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4"/>
      <c r="Q106" s="505"/>
    </row>
    <row r="107" spans="1:17" ht="15" thickTop="1">
      <c r="A107" s="600"/>
      <c r="B107" s="539" t="s">
        <v>2616</v>
      </c>
      <c r="C107" s="584"/>
      <c r="D107" s="584"/>
      <c r="E107" s="584"/>
      <c r="F107" s="584"/>
      <c r="G107" s="584"/>
      <c r="H107" s="584"/>
      <c r="I107" s="584"/>
      <c r="J107" s="584"/>
      <c r="K107" s="585"/>
      <c r="L107" s="586"/>
      <c r="M107" s="587"/>
      <c r="N107" s="1156"/>
      <c r="O107" s="1156"/>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4"/>
      <c r="Q108" s="505"/>
    </row>
    <row r="109" spans="1:17" ht="15" thickTop="1">
      <c r="A109" s="600"/>
      <c r="B109" s="539" t="s">
        <v>2617</v>
      </c>
      <c r="C109" s="555"/>
      <c r="D109" s="555"/>
      <c r="E109" s="555"/>
      <c r="F109" s="584"/>
      <c r="G109" s="584"/>
      <c r="H109" s="584"/>
      <c r="I109" s="584"/>
      <c r="J109" s="584"/>
      <c r="K109" s="585"/>
      <c r="L109" s="586"/>
      <c r="M109" s="587"/>
      <c r="N109" s="1156"/>
      <c r="O109" s="1156"/>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4"/>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5"/>
      <c r="Q113" s="560"/>
    </row>
    <row r="114" spans="1:17" ht="15" thickTop="1">
      <c r="A114" s="600"/>
      <c r="B114" s="539" t="s">
        <v>2618</v>
      </c>
      <c r="C114" s="555"/>
      <c r="D114" s="555"/>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4"/>
      <c r="Q115" s="505"/>
    </row>
    <row r="116" spans="1:17" ht="15" thickTop="1">
      <c r="A116" s="600"/>
      <c r="B116" s="539" t="s">
        <v>2619</v>
      </c>
      <c r="C116" s="555"/>
      <c r="D116" s="555"/>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4"/>
      <c r="Q117" s="505"/>
    </row>
    <row r="118" spans="1:17" ht="15" thickTop="1">
      <c r="A118" s="600"/>
      <c r="B118" s="539" t="s">
        <v>2620</v>
      </c>
      <c r="C118" s="584"/>
      <c r="D118" s="584"/>
      <c r="E118" s="584"/>
      <c r="F118" s="584"/>
      <c r="G118" s="584"/>
      <c r="H118" s="584"/>
      <c r="I118" s="584"/>
      <c r="J118" s="584"/>
      <c r="K118" s="585"/>
      <c r="L118" s="586"/>
      <c r="M118" s="587"/>
      <c r="N118" s="1156"/>
      <c r="O118" s="1156"/>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4"/>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5"/>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5"/>
      <c r="Q121" s="560"/>
    </row>
    <row r="122" spans="1:17" ht="15" thickTop="1">
      <c r="A122" s="600"/>
      <c r="B122" s="539" t="s">
        <v>2621</v>
      </c>
      <c r="C122" s="555"/>
      <c r="D122" s="555"/>
      <c r="E122" s="555"/>
      <c r="F122" s="584"/>
      <c r="G122" s="584"/>
      <c r="H122" s="584"/>
      <c r="I122" s="584"/>
      <c r="J122" s="584"/>
      <c r="K122" s="585"/>
      <c r="L122" s="586"/>
      <c r="M122" s="587"/>
      <c r="N122" s="1156"/>
      <c r="O122" s="1156"/>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61"/>
      <c r="E129" s="561"/>
      <c r="F129" s="561"/>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8">
        <v>6</v>
      </c>
      <c r="C139" s="1089">
        <v>96</v>
      </c>
      <c r="D139" s="2652" t="s">
        <v>2632</v>
      </c>
      <c r="E139" s="1090">
        <v>100</v>
      </c>
      <c r="F139" s="1091">
        <v>102.5</v>
      </c>
      <c r="G139" s="2652" t="s">
        <v>2632</v>
      </c>
      <c r="H139" s="1092">
        <v>105</v>
      </c>
      <c r="I139" s="2653" t="s">
        <v>2633</v>
      </c>
      <c r="J139" s="1089">
        <v>20</v>
      </c>
      <c r="K139" s="1093">
        <f>C145/(J139-2)</f>
        <v>4.0555555555555553E-3</v>
      </c>
    </row>
    <row r="140" spans="1:17" ht="15">
      <c r="B140" s="1094">
        <v>5</v>
      </c>
      <c r="C140" s="1095">
        <v>100</v>
      </c>
      <c r="D140" s="1095"/>
      <c r="E140" s="1096"/>
      <c r="F140" s="1097">
        <v>102</v>
      </c>
      <c r="G140" s="1095"/>
      <c r="H140" s="1098"/>
      <c r="I140" s="2654" t="s">
        <v>2634</v>
      </c>
      <c r="J140" s="316">
        <f>ROUNDUP((J139-1)/2,0)</f>
        <v>10</v>
      </c>
      <c r="K140" s="1099">
        <v>100</v>
      </c>
    </row>
    <row r="141" spans="1:17" ht="15">
      <c r="B141" s="1094">
        <v>4</v>
      </c>
      <c r="C141" s="1095">
        <v>102</v>
      </c>
      <c r="D141" s="1095"/>
      <c r="E141" s="1096"/>
      <c r="F141" s="1097">
        <v>101.5</v>
      </c>
      <c r="G141" s="1095"/>
      <c r="H141" s="1098"/>
      <c r="I141" s="2654" t="s">
        <v>2635</v>
      </c>
      <c r="J141" s="316">
        <v>1</v>
      </c>
      <c r="K141" s="1100">
        <f>ROUND(100+(J141-J140)*K139*100,1)</f>
        <v>96.4</v>
      </c>
    </row>
    <row r="142" spans="1:17" ht="15">
      <c r="B142" s="1094">
        <v>3</v>
      </c>
      <c r="C142" s="1095">
        <v>103</v>
      </c>
      <c r="D142" s="1095"/>
      <c r="E142" s="1096"/>
      <c r="F142" s="1097">
        <v>101</v>
      </c>
      <c r="G142" s="1095"/>
      <c r="H142" s="1098"/>
      <c r="I142" s="2654" t="s">
        <v>2636</v>
      </c>
      <c r="J142" s="316">
        <f>J139</f>
        <v>20</v>
      </c>
      <c r="K142" s="1101">
        <v>95</v>
      </c>
    </row>
    <row r="143" spans="1:17" ht="15">
      <c r="B143" s="1094">
        <v>2</v>
      </c>
      <c r="C143" s="1095">
        <v>100</v>
      </c>
      <c r="D143" s="1095"/>
      <c r="E143" s="1096"/>
      <c r="F143" s="1097">
        <v>100.5</v>
      </c>
      <c r="G143" s="1095"/>
      <c r="H143" s="1098"/>
      <c r="I143" s="2654" t="s">
        <v>2637</v>
      </c>
      <c r="J143" s="1095">
        <v>15</v>
      </c>
      <c r="K143" s="1100">
        <f>ROUND(100+(J143-J140)*K139*100,1)</f>
        <v>102</v>
      </c>
    </row>
    <row r="144" spans="1:17" ht="15">
      <c r="B144" s="1094">
        <v>1</v>
      </c>
      <c r="C144" s="1095">
        <v>98</v>
      </c>
      <c r="D144" s="2655" t="s">
        <v>2638</v>
      </c>
      <c r="E144" s="1096">
        <v>102</v>
      </c>
      <c r="F144" s="1102">
        <v>100</v>
      </c>
      <c r="G144" s="2655" t="s">
        <v>2638</v>
      </c>
      <c r="H144" s="1098">
        <v>105</v>
      </c>
      <c r="I144" s="2654" t="s">
        <v>2637</v>
      </c>
      <c r="J144" s="1095">
        <v>18</v>
      </c>
      <c r="K144" s="1100">
        <f>ROUND(100+(J144-J140)*K139*100,1)</f>
        <v>103.2</v>
      </c>
    </row>
    <row r="145" spans="2:11" ht="15.75" thickBot="1">
      <c r="B145" s="2656" t="s">
        <v>2639</v>
      </c>
      <c r="C145" s="1103">
        <f>ROUND(MAX(C139:C144)/MIN(C139:C144)-1,3)</f>
        <v>7.2999999999999995E-2</v>
      </c>
      <c r="D145" s="1104"/>
      <c r="E145" s="1104"/>
      <c r="F145" s="2657" t="s">
        <v>2640</v>
      </c>
      <c r="G145" s="2658"/>
      <c r="H145" s="2659"/>
      <c r="I145" s="2660" t="s">
        <v>2637</v>
      </c>
      <c r="J145" s="1105">
        <v>8</v>
      </c>
      <c r="K145" s="1106">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2703</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IF(C2="——",ROUND(C43*D3/10000,0),ROUND(C43*D3/10000,0)-D2)</f>
        <v>#DIV/0!</v>
      </c>
      <c r="C2" s="2590"/>
      <c r="D2" s="1128"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2333</v>
      </c>
      <c r="B3" s="610" t="e">
        <f ca="1">IF(C2="——",C43,ROUND(B2*10000/D3,0))</f>
        <v>#DIV/0!</v>
      </c>
      <c r="C3" s="401" t="s">
        <v>2645</v>
      </c>
      <c r="D3" s="400">
        <f>IF(D1="",'数据-汇总表'!E3,SUMIF('数据-汇总表'!$C19:$C33,D1,'数据-汇总表'!$E19:$E33))</f>
        <v>41231.079999999994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57">
      <c r="A15" s="441" t="s">
        <v>2560</v>
      </c>
      <c r="B15" s="69" t="s">
        <v>2704</v>
      </c>
      <c r="C15" s="2697"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44" t="s">
        <v>2561</v>
      </c>
      <c r="Q15" s="1815" t="str">
        <f t="shared" si="6"/>
        <v>产业集聚程度</v>
      </c>
      <c r="R15" s="775" t="s">
        <v>17</v>
      </c>
      <c r="S15" s="776">
        <f t="shared" si="0"/>
        <v>100</v>
      </c>
      <c r="T15" s="775" t="s">
        <v>17</v>
      </c>
      <c r="U15" s="776">
        <f t="shared" si="1"/>
        <v>100</v>
      </c>
      <c r="V15" s="775" t="s">
        <v>17</v>
      </c>
      <c r="W15" s="776">
        <f t="shared" si="2"/>
        <v>100</v>
      </c>
      <c r="X15" s="1818"/>
      <c r="Y15" s="3344"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45"/>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45"/>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457"/>
      <c r="C18" s="2612"/>
      <c r="D18" s="451"/>
      <c r="E18" s="2614"/>
      <c r="F18" s="454"/>
      <c r="G18" s="2613"/>
      <c r="H18" s="449"/>
      <c r="I18" s="2614"/>
      <c r="J18" s="449"/>
      <c r="K18" s="616"/>
      <c r="L18" s="1144"/>
      <c r="M18" s="1135"/>
      <c r="N18" s="1135"/>
      <c r="O18" s="1143"/>
      <c r="P18" s="3345"/>
      <c r="Q18" s="1815"/>
      <c r="R18" s="775"/>
      <c r="S18" s="776"/>
      <c r="T18" s="775"/>
      <c r="U18" s="776"/>
      <c r="V18" s="775"/>
      <c r="W18" s="776"/>
      <c r="X18" s="1818"/>
      <c r="Y18" s="3345"/>
      <c r="Z18" s="1819"/>
      <c r="AA18" s="1816">
        <v>1</v>
      </c>
      <c r="AB18" s="1816">
        <v>1</v>
      </c>
      <c r="AC18" s="1816">
        <v>1</v>
      </c>
    </row>
    <row r="19" spans="1:29" ht="42.75">
      <c r="A19" s="429"/>
      <c r="B19" s="452" t="s">
        <v>2689</v>
      </c>
      <c r="C19" s="2611"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45"/>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1816">
        <f t="shared" si="5"/>
        <v>1</v>
      </c>
    </row>
    <row r="20" spans="1:29" ht="15">
      <c r="A20" s="429"/>
      <c r="B20" s="457"/>
      <c r="C20" s="448"/>
      <c r="D20" s="449"/>
      <c r="E20" s="2609"/>
      <c r="F20" s="450"/>
      <c r="G20" s="2608"/>
      <c r="H20" s="449"/>
      <c r="I20" s="2609"/>
      <c r="J20" s="449"/>
      <c r="K20" s="616"/>
      <c r="L20" s="1144"/>
      <c r="M20" s="1135"/>
      <c r="N20" s="1135"/>
      <c r="O20" s="1143"/>
      <c r="P20" s="3345"/>
      <c r="Q20" s="1815"/>
      <c r="R20" s="775"/>
      <c r="S20" s="776"/>
      <c r="T20" s="775"/>
      <c r="U20" s="776"/>
      <c r="V20" s="775"/>
      <c r="W20" s="776"/>
      <c r="X20" s="1818"/>
      <c r="Y20" s="3345"/>
      <c r="Z20" s="1819"/>
      <c r="AA20" s="1816">
        <v>1</v>
      </c>
      <c r="AB20" s="1816">
        <v>1</v>
      </c>
      <c r="AC20" s="1816">
        <v>1</v>
      </c>
    </row>
    <row r="21" spans="1:29" ht="28.5">
      <c r="A21" s="429"/>
      <c r="B21" s="1388" t="s">
        <v>2690</v>
      </c>
      <c r="C21" s="2611"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45"/>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50"/>
      <c r="G22" s="448"/>
      <c r="H22" s="449"/>
      <c r="I22" s="448"/>
      <c r="J22" s="449"/>
      <c r="K22" s="1387"/>
      <c r="L22" s="1144"/>
      <c r="M22" s="1135"/>
      <c r="N22" s="1135"/>
      <c r="O22" s="1143"/>
      <c r="P22" s="3345"/>
      <c r="Q22" s="1815"/>
      <c r="R22" s="775"/>
      <c r="S22" s="776"/>
      <c r="T22" s="775"/>
      <c r="U22" s="776"/>
      <c r="V22" s="775"/>
      <c r="W22" s="776"/>
      <c r="X22" s="1818"/>
      <c r="Y22" s="3345"/>
      <c r="Z22" s="1819"/>
      <c r="AA22" s="1816">
        <v>1</v>
      </c>
      <c r="AB22" s="1816">
        <v>1</v>
      </c>
      <c r="AC22" s="1816">
        <v>1</v>
      </c>
    </row>
    <row r="23" spans="1:29" ht="71.25">
      <c r="A23" s="429"/>
      <c r="B23" s="452" t="s">
        <v>2691</v>
      </c>
      <c r="C23" s="2611"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45"/>
      <c r="Q23" s="1815" t="str">
        <f>B23</f>
        <v>环境质量</v>
      </c>
      <c r="R23" s="775" t="s">
        <v>17</v>
      </c>
      <c r="S23" s="776">
        <f>F23</f>
        <v>100</v>
      </c>
      <c r="T23" s="775" t="s">
        <v>17</v>
      </c>
      <c r="U23" s="776">
        <f>H23</f>
        <v>100</v>
      </c>
      <c r="V23" s="775" t="s">
        <v>17</v>
      </c>
      <c r="W23" s="776">
        <f>J23</f>
        <v>100</v>
      </c>
      <c r="X23" s="1818"/>
      <c r="Y23" s="3345"/>
      <c r="Z23" s="1819" t="str">
        <f>Q23</f>
        <v>环境质量</v>
      </c>
      <c r="AA23" s="1816">
        <f t="shared" si="3"/>
        <v>1</v>
      </c>
      <c r="AB23" s="1816">
        <f t="shared" si="4"/>
        <v>1</v>
      </c>
      <c r="AC23" s="1816">
        <f t="shared" si="5"/>
        <v>1</v>
      </c>
    </row>
    <row r="24" spans="1:29" ht="15">
      <c r="A24" s="429"/>
      <c r="B24" s="1388"/>
      <c r="C24" s="448"/>
      <c r="D24" s="449"/>
      <c r="E24" s="2609"/>
      <c r="F24" s="450"/>
      <c r="G24" s="2608"/>
      <c r="H24" s="449"/>
      <c r="I24" s="2609"/>
      <c r="J24" s="449"/>
      <c r="K24" s="616"/>
      <c r="L24" s="1144"/>
      <c r="M24" s="1135"/>
      <c r="N24" s="1135"/>
      <c r="O24" s="1143"/>
      <c r="P24" s="3345"/>
      <c r="Q24" s="1815"/>
      <c r="R24" s="775"/>
      <c r="S24" s="776"/>
      <c r="T24" s="775"/>
      <c r="U24" s="776"/>
      <c r="V24" s="775"/>
      <c r="W24" s="776"/>
      <c r="X24" s="1818"/>
      <c r="Y24" s="3345"/>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45"/>
      <c r="Q25" s="1815">
        <f>B25</f>
        <v>111</v>
      </c>
      <c r="R25" s="775" t="s">
        <v>17</v>
      </c>
      <c r="S25" s="776">
        <f>F25</f>
        <v>100</v>
      </c>
      <c r="T25" s="775" t="s">
        <v>17</v>
      </c>
      <c r="U25" s="776">
        <f>H25</f>
        <v>100</v>
      </c>
      <c r="V25" s="775" t="s">
        <v>17</v>
      </c>
      <c r="W25" s="776">
        <f>J25</f>
        <v>100</v>
      </c>
      <c r="X25" s="1818"/>
      <c r="Y25" s="3345"/>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45"/>
      <c r="Q26" s="1815">
        <f t="shared" ref="Q26:Q40" si="11">B26</f>
        <v>111</v>
      </c>
      <c r="R26" s="775" t="s">
        <v>17</v>
      </c>
      <c r="S26" s="776">
        <f>F26</f>
        <v>100</v>
      </c>
      <c r="T26" s="775" t="s">
        <v>17</v>
      </c>
      <c r="U26" s="776">
        <f>H26</f>
        <v>100</v>
      </c>
      <c r="V26" s="775" t="s">
        <v>17</v>
      </c>
      <c r="W26" s="776">
        <f>J26</f>
        <v>100</v>
      </c>
      <c r="X26" s="1818"/>
      <c r="Y26" s="3345"/>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45"/>
      <c r="Q27" s="1800">
        <f t="shared" si="11"/>
        <v>111</v>
      </c>
      <c r="R27" s="771" t="s">
        <v>17</v>
      </c>
      <c r="S27" s="772">
        <f>F27</f>
        <v>100</v>
      </c>
      <c r="T27" s="771" t="s">
        <v>17</v>
      </c>
      <c r="U27" s="772">
        <f>H27</f>
        <v>100</v>
      </c>
      <c r="V27" s="771" t="s">
        <v>17</v>
      </c>
      <c r="W27" s="772">
        <f>J27</f>
        <v>100</v>
      </c>
      <c r="X27" s="773"/>
      <c r="Y27" s="3345"/>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45"/>
      <c r="Q28" s="1815">
        <f t="shared" si="11"/>
        <v>111</v>
      </c>
      <c r="R28" s="775" t="s">
        <v>17</v>
      </c>
      <c r="S28" s="776">
        <f t="shared" ref="S28:S40" si="12">F28</f>
        <v>100</v>
      </c>
      <c r="T28" s="775" t="s">
        <v>17</v>
      </c>
      <c r="U28" s="776">
        <f t="shared" ref="U28:U40" si="13">H28</f>
        <v>100</v>
      </c>
      <c r="V28" s="775" t="s">
        <v>17</v>
      </c>
      <c r="W28" s="776">
        <f t="shared" ref="W28:W40" si="14">J28</f>
        <v>100</v>
      </c>
      <c r="X28" s="1818"/>
      <c r="Y28" s="3345"/>
      <c r="Z28" s="1819">
        <f t="shared" ref="Z28:Z40" si="15">Q28</f>
        <v>111</v>
      </c>
      <c r="AA28" s="1816">
        <f t="shared" si="3"/>
        <v>1</v>
      </c>
      <c r="AB28" s="1816">
        <f t="shared" si="4"/>
        <v>1</v>
      </c>
      <c r="AC28" s="1816">
        <f t="shared" si="5"/>
        <v>1</v>
      </c>
    </row>
    <row r="29" spans="1:29" ht="15">
      <c r="A29" s="467" t="s">
        <v>2564</v>
      </c>
      <c r="B29" s="71" t="s">
        <v>2694</v>
      </c>
      <c r="C29" s="2683"/>
      <c r="D29" s="468">
        <v>100</v>
      </c>
      <c r="E29" s="2683"/>
      <c r="F29" s="462">
        <f>SUMIF(88:88,E29,89:89)-SUMIF(88:88,C29,89:89)+100</f>
        <v>100</v>
      </c>
      <c r="G29" s="2683"/>
      <c r="H29" s="436">
        <f>SUMIF(88:88,G29,89:89)-SUMIF(88:88,C29,89:89)+100</f>
        <v>100</v>
      </c>
      <c r="I29" s="2683"/>
      <c r="J29" s="468">
        <f>SUMIF(88:88,I29,89:89)-SUMIF(88:88,C29,89:89)+100</f>
        <v>100</v>
      </c>
      <c r="K29" s="613"/>
      <c r="L29" s="1144"/>
      <c r="M29" s="1135"/>
      <c r="N29" s="1135"/>
      <c r="O29" s="1143"/>
      <c r="P29" s="3401" t="s">
        <v>2566</v>
      </c>
      <c r="Q29" s="1815" t="str">
        <f t="shared" si="11"/>
        <v>建筑类型</v>
      </c>
      <c r="R29" s="775" t="s">
        <v>17</v>
      </c>
      <c r="S29" s="776">
        <f t="shared" si="12"/>
        <v>100</v>
      </c>
      <c r="T29" s="775" t="s">
        <v>17</v>
      </c>
      <c r="U29" s="776">
        <f t="shared" si="13"/>
        <v>100</v>
      </c>
      <c r="V29" s="775" t="s">
        <v>17</v>
      </c>
      <c r="W29" s="776">
        <f t="shared" si="14"/>
        <v>100</v>
      </c>
      <c r="X29" s="1818"/>
      <c r="Y29" s="3349"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49"/>
      <c r="Q30" s="777" t="str">
        <f t="shared" si="11"/>
        <v>项目建筑规模</v>
      </c>
      <c r="R30" s="778" t="s">
        <v>17</v>
      </c>
      <c r="S30" s="779" t="e">
        <f t="shared" si="12"/>
        <v>#N/A</v>
      </c>
      <c r="T30" s="778" t="s">
        <v>17</v>
      </c>
      <c r="U30" s="779" t="e">
        <f t="shared" si="13"/>
        <v>#N/A</v>
      </c>
      <c r="V30" s="778" t="s">
        <v>17</v>
      </c>
      <c r="W30" s="779" t="e">
        <f t="shared" si="14"/>
        <v>#N/A</v>
      </c>
      <c r="X30" s="780"/>
      <c r="Y30" s="3349"/>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49"/>
      <c r="Q31" s="1815" t="str">
        <f t="shared" si="11"/>
        <v>建筑结构</v>
      </c>
      <c r="R31" s="775" t="s">
        <v>17</v>
      </c>
      <c r="S31" s="776">
        <f t="shared" si="12"/>
        <v>100</v>
      </c>
      <c r="T31" s="775" t="s">
        <v>17</v>
      </c>
      <c r="U31" s="776">
        <f t="shared" si="13"/>
        <v>100</v>
      </c>
      <c r="V31" s="775" t="s">
        <v>17</v>
      </c>
      <c r="W31" s="776">
        <f t="shared" si="14"/>
        <v>100</v>
      </c>
      <c r="X31" s="1818"/>
      <c r="Y31" s="3349"/>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49"/>
      <c r="Q32" s="1815" t="str">
        <f t="shared" si="11"/>
        <v>公共部分装修</v>
      </c>
      <c r="R32" s="775" t="s">
        <v>17</v>
      </c>
      <c r="S32" s="776">
        <f t="shared" si="12"/>
        <v>100</v>
      </c>
      <c r="T32" s="775" t="s">
        <v>17</v>
      </c>
      <c r="U32" s="776">
        <f t="shared" si="13"/>
        <v>100</v>
      </c>
      <c r="V32" s="775" t="s">
        <v>17</v>
      </c>
      <c r="W32" s="776">
        <f t="shared" si="14"/>
        <v>100</v>
      </c>
      <c r="X32" s="1818"/>
      <c r="Y32" s="3349"/>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49"/>
      <c r="Q33" s="1815" t="str">
        <f t="shared" si="11"/>
        <v>成新度</v>
      </c>
      <c r="R33" s="775" t="s">
        <v>17</v>
      </c>
      <c r="S33" s="776" t="e">
        <f t="shared" si="12"/>
        <v>#N/A</v>
      </c>
      <c r="T33" s="775" t="s">
        <v>17</v>
      </c>
      <c r="U33" s="776" t="e">
        <f t="shared" si="13"/>
        <v>#N/A</v>
      </c>
      <c r="V33" s="775" t="s">
        <v>17</v>
      </c>
      <c r="W33" s="776" t="e">
        <f t="shared" si="14"/>
        <v>#N/A</v>
      </c>
      <c r="X33" s="1818"/>
      <c r="Y33" s="3349"/>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49"/>
      <c r="Q34" s="1800" t="str">
        <f t="shared" si="11"/>
        <v>物业管理</v>
      </c>
      <c r="R34" s="771" t="s">
        <v>17</v>
      </c>
      <c r="S34" s="772">
        <f t="shared" si="12"/>
        <v>100</v>
      </c>
      <c r="T34" s="771" t="s">
        <v>17</v>
      </c>
      <c r="U34" s="772">
        <f t="shared" si="13"/>
        <v>100</v>
      </c>
      <c r="V34" s="771" t="s">
        <v>17</v>
      </c>
      <c r="W34" s="772">
        <f t="shared" si="14"/>
        <v>100</v>
      </c>
      <c r="X34" s="773"/>
      <c r="Y34" s="3349"/>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49" t="s">
        <v>2566</v>
      </c>
      <c r="Q35" s="1815" t="str">
        <f t="shared" si="11"/>
        <v>市政基础设施</v>
      </c>
      <c r="R35" s="775" t="s">
        <v>17</v>
      </c>
      <c r="S35" s="776">
        <f t="shared" si="12"/>
        <v>100</v>
      </c>
      <c r="T35" s="775" t="s">
        <v>17</v>
      </c>
      <c r="U35" s="776">
        <f t="shared" si="13"/>
        <v>100</v>
      </c>
      <c r="V35" s="775" t="s">
        <v>17</v>
      </c>
      <c r="W35" s="776">
        <f t="shared" si="14"/>
        <v>100</v>
      </c>
      <c r="X35" s="1818"/>
      <c r="Y35" s="3349"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49"/>
      <c r="Q36" s="1815" t="str">
        <f t="shared" si="11"/>
        <v>内部装修</v>
      </c>
      <c r="R36" s="775" t="s">
        <v>17</v>
      </c>
      <c r="S36" s="776">
        <f t="shared" si="12"/>
        <v>100</v>
      </c>
      <c r="T36" s="775" t="s">
        <v>17</v>
      </c>
      <c r="U36" s="776">
        <f t="shared" si="13"/>
        <v>100</v>
      </c>
      <c r="V36" s="775" t="s">
        <v>17</v>
      </c>
      <c r="W36" s="776">
        <f t="shared" si="14"/>
        <v>100</v>
      </c>
      <c r="X36" s="1818"/>
      <c r="Y36" s="3349"/>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49"/>
      <c r="Q37" s="1815" t="str">
        <f t="shared" si="11"/>
        <v>内部装修状况</v>
      </c>
      <c r="R37" s="775" t="s">
        <v>17</v>
      </c>
      <c r="S37" s="776">
        <f t="shared" si="12"/>
        <v>100</v>
      </c>
      <c r="T37" s="775" t="s">
        <v>17</v>
      </c>
      <c r="U37" s="776">
        <f t="shared" si="13"/>
        <v>100</v>
      </c>
      <c r="V37" s="775" t="s">
        <v>17</v>
      </c>
      <c r="W37" s="776">
        <f t="shared" si="14"/>
        <v>100</v>
      </c>
      <c r="X37" s="1818"/>
      <c r="Y37" s="3349"/>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49"/>
      <c r="Q38" s="777">
        <f t="shared" si="11"/>
        <v>111</v>
      </c>
      <c r="R38" s="778" t="s">
        <v>17</v>
      </c>
      <c r="S38" s="779">
        <f t="shared" si="12"/>
        <v>100</v>
      </c>
      <c r="T38" s="778" t="s">
        <v>17</v>
      </c>
      <c r="U38" s="779">
        <f t="shared" si="13"/>
        <v>100</v>
      </c>
      <c r="V38" s="778" t="s">
        <v>17</v>
      </c>
      <c r="W38" s="779">
        <f t="shared" si="14"/>
        <v>100</v>
      </c>
      <c r="X38" s="780"/>
      <c r="Y38" s="3349"/>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49"/>
      <c r="Q39" s="1815">
        <f t="shared" si="11"/>
        <v>111</v>
      </c>
      <c r="R39" s="775" t="s">
        <v>17</v>
      </c>
      <c r="S39" s="776">
        <f t="shared" si="12"/>
        <v>100</v>
      </c>
      <c r="T39" s="775" t="s">
        <v>17</v>
      </c>
      <c r="U39" s="776">
        <f t="shared" si="13"/>
        <v>100</v>
      </c>
      <c r="V39" s="775" t="s">
        <v>17</v>
      </c>
      <c r="W39" s="776">
        <f t="shared" si="14"/>
        <v>100</v>
      </c>
      <c r="X39" s="1818"/>
      <c r="Y39" s="3349"/>
      <c r="Z39" s="1819">
        <f t="shared" si="15"/>
        <v>111</v>
      </c>
      <c r="AA39" s="1816">
        <f t="shared" si="3"/>
        <v>1</v>
      </c>
      <c r="AB39" s="1816">
        <f t="shared" si="4"/>
        <v>1</v>
      </c>
      <c r="AC39" s="1816">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50"/>
      <c r="Q40" s="1815">
        <f t="shared" si="11"/>
        <v>111</v>
      </c>
      <c r="R40" s="775" t="s">
        <v>17</v>
      </c>
      <c r="S40" s="776">
        <f t="shared" si="12"/>
        <v>100</v>
      </c>
      <c r="T40" s="775" t="s">
        <v>17</v>
      </c>
      <c r="U40" s="776">
        <f t="shared" si="13"/>
        <v>100</v>
      </c>
      <c r="V40" s="775" t="s">
        <v>17</v>
      </c>
      <c r="W40" s="776">
        <f t="shared" si="14"/>
        <v>100</v>
      </c>
      <c r="X40" s="1818"/>
      <c r="Y40" s="3350"/>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351" t="str">
        <f>A41</f>
        <v>成交单价（元/平方米）</v>
      </c>
      <c r="Q41" s="3351"/>
      <c r="R41" s="3352">
        <f>E41</f>
        <v>0</v>
      </c>
      <c r="S41" s="3352"/>
      <c r="T41" s="3352">
        <f>G41</f>
        <v>0</v>
      </c>
      <c r="U41" s="3352"/>
      <c r="V41" s="3352">
        <f>I41</f>
        <v>0</v>
      </c>
      <c r="W41" s="3352"/>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376" t="str">
        <f>A43</f>
        <v>估价对象XX用房的比较价值（楼面单价，元/平方米）</v>
      </c>
      <c r="Q43" s="3377"/>
      <c r="R43" s="3378" t="e">
        <f>IF(F1="售价",ROUND(AVERAGE(R42:V42),0),ROUND(AVERAGE(R42:V42),1))</f>
        <v>#DIV/0!</v>
      </c>
      <c r="S43" s="3378"/>
      <c r="T43" s="3378"/>
      <c r="U43" s="3378"/>
      <c r="V43" s="3378"/>
      <c r="W43" s="3378"/>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0"/>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0"/>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88"/>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2331</v>
      </c>
      <c r="B2" s="1422" t="e">
        <f ca="1">IF(C2="——",IF(B37="元/平方米",ROUND(C39*D3/10000,0),ROUND(F3*C39/10000,0)),IF(B37="元/平方米",ROUND(C39*D3/10000,0),ROUND(F3*C39/10000,0))-D2)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2333</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08" t="s">
        <v>2550</v>
      </c>
      <c r="Q7" s="3341"/>
      <c r="R7" s="771" t="s">
        <v>17</v>
      </c>
      <c r="S7" s="772">
        <f t="shared" ref="S7:S14" si="0">F7</f>
        <v>0</v>
      </c>
      <c r="T7" s="771" t="s">
        <v>17</v>
      </c>
      <c r="U7" s="772">
        <f t="shared" ref="U7:U14" si="1">H7</f>
        <v>0</v>
      </c>
      <c r="V7" s="771" t="s">
        <v>17</v>
      </c>
      <c r="W7" s="772">
        <f t="shared" ref="W7:W14" si="2">J7</f>
        <v>0</v>
      </c>
      <c r="X7" s="773"/>
      <c r="Y7" s="3308" t="s">
        <v>2550</v>
      </c>
      <c r="Z7" s="3309"/>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51" t="s">
        <v>2556</v>
      </c>
      <c r="Q9" s="1800" t="str">
        <f t="shared" ref="Q9:Q14" si="6">B9</f>
        <v>用途</v>
      </c>
      <c r="R9" s="771" t="s">
        <v>17</v>
      </c>
      <c r="S9" s="772">
        <f t="shared" si="0"/>
        <v>100</v>
      </c>
      <c r="T9" s="771" t="s">
        <v>17</v>
      </c>
      <c r="U9" s="772">
        <f t="shared" si="1"/>
        <v>100</v>
      </c>
      <c r="V9" s="771" t="s">
        <v>17</v>
      </c>
      <c r="W9" s="772">
        <f t="shared" si="2"/>
        <v>100</v>
      </c>
      <c r="X9" s="773"/>
      <c r="Y9" s="3162"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51"/>
      <c r="Q11" s="1800">
        <f t="shared" si="6"/>
        <v>111</v>
      </c>
      <c r="R11" s="771" t="s">
        <v>17</v>
      </c>
      <c r="S11" s="772">
        <f t="shared" si="0"/>
        <v>100</v>
      </c>
      <c r="T11" s="771" t="s">
        <v>17</v>
      </c>
      <c r="U11" s="772">
        <f t="shared" si="1"/>
        <v>100</v>
      </c>
      <c r="V11" s="771" t="s">
        <v>17</v>
      </c>
      <c r="W11" s="772">
        <f t="shared" si="2"/>
        <v>100</v>
      </c>
      <c r="X11" s="773"/>
      <c r="Y11" s="316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85.5">
      <c r="A14" s="402" t="s">
        <v>2560</v>
      </c>
      <c r="B14" s="630" t="s">
        <v>2710</v>
      </c>
      <c r="C14" s="2697"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44" t="s">
        <v>2561</v>
      </c>
      <c r="Q14" s="1815" t="str">
        <f t="shared" si="6"/>
        <v>交通便捷度</v>
      </c>
      <c r="R14" s="775" t="s">
        <v>17</v>
      </c>
      <c r="S14" s="776">
        <f t="shared" si="0"/>
        <v>100</v>
      </c>
      <c r="T14" s="775" t="s">
        <v>17</v>
      </c>
      <c r="U14" s="776">
        <f t="shared" si="1"/>
        <v>100</v>
      </c>
      <c r="V14" s="775" t="s">
        <v>17</v>
      </c>
      <c r="W14" s="776">
        <f t="shared" si="2"/>
        <v>100</v>
      </c>
      <c r="X14" s="1818"/>
      <c r="Y14" s="3344"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45"/>
      <c r="Q15" s="1815"/>
      <c r="R15" s="775"/>
      <c r="S15" s="776"/>
      <c r="T15" s="775"/>
      <c r="U15" s="776"/>
      <c r="V15" s="775"/>
      <c r="W15" s="776"/>
      <c r="X15" s="1818"/>
      <c r="Y15" s="3345"/>
      <c r="Z15" s="1819"/>
      <c r="AA15" s="1816">
        <v>1</v>
      </c>
      <c r="AB15" s="1816">
        <v>1</v>
      </c>
      <c r="AC15" s="1816">
        <v>1</v>
      </c>
    </row>
    <row r="16" spans="1:29" ht="42.75">
      <c r="A16" s="405"/>
      <c r="B16" s="632" t="s">
        <v>2689</v>
      </c>
      <c r="C16" s="2611"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45"/>
      <c r="Q16" s="1815" t="str">
        <f>B16</f>
        <v>公共配套设施</v>
      </c>
      <c r="R16" s="775" t="s">
        <v>17</v>
      </c>
      <c r="S16" s="776">
        <f>F16</f>
        <v>100</v>
      </c>
      <c r="T16" s="775" t="s">
        <v>17</v>
      </c>
      <c r="U16" s="776">
        <f>H16</f>
        <v>100</v>
      </c>
      <c r="V16" s="775" t="s">
        <v>17</v>
      </c>
      <c r="W16" s="776">
        <f>J16</f>
        <v>100</v>
      </c>
      <c r="X16" s="1818"/>
      <c r="Y16" s="3345"/>
      <c r="Z16" s="1819" t="str">
        <f>Q16</f>
        <v>公共配套设施</v>
      </c>
      <c r="AA16" s="1816">
        <f t="shared" si="3"/>
        <v>1</v>
      </c>
      <c r="AB16" s="1816">
        <f t="shared" si="4"/>
        <v>1</v>
      </c>
      <c r="AC16" s="1816">
        <f t="shared" si="5"/>
        <v>1</v>
      </c>
    </row>
    <row r="17" spans="1:29" ht="15">
      <c r="A17" s="405"/>
      <c r="B17" s="633"/>
      <c r="C17" s="2612"/>
      <c r="D17" s="449"/>
      <c r="E17" s="448"/>
      <c r="F17" s="450"/>
      <c r="G17" s="448"/>
      <c r="H17" s="449"/>
      <c r="I17" s="448"/>
      <c r="J17" s="449"/>
      <c r="K17" s="616"/>
      <c r="L17" s="1144"/>
      <c r="M17" s="1135"/>
      <c r="N17" s="1135"/>
      <c r="O17" s="1135"/>
      <c r="P17" s="3345"/>
      <c r="Q17" s="1815"/>
      <c r="R17" s="775"/>
      <c r="S17" s="776"/>
      <c r="T17" s="775"/>
      <c r="U17" s="776"/>
      <c r="V17" s="775"/>
      <c r="W17" s="776"/>
      <c r="X17" s="1818"/>
      <c r="Y17" s="3345"/>
      <c r="Z17" s="1819"/>
      <c r="AA17" s="1816">
        <v>1</v>
      </c>
      <c r="AB17" s="1816">
        <v>1</v>
      </c>
      <c r="AC17" s="1816">
        <v>1</v>
      </c>
    </row>
    <row r="18" spans="1:29" ht="28.5">
      <c r="A18" s="405"/>
      <c r="B18" s="634" t="s">
        <v>2690</v>
      </c>
      <c r="C18" s="2611"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45"/>
      <c r="Q18" s="1815" t="str">
        <f>B18</f>
        <v>基础设施水平</v>
      </c>
      <c r="R18" s="775" t="s">
        <v>17</v>
      </c>
      <c r="S18" s="776">
        <f>F18</f>
        <v>100</v>
      </c>
      <c r="T18" s="775" t="s">
        <v>17</v>
      </c>
      <c r="U18" s="776">
        <f>H18</f>
        <v>100</v>
      </c>
      <c r="V18" s="775" t="s">
        <v>17</v>
      </c>
      <c r="W18" s="776">
        <f>J18</f>
        <v>100</v>
      </c>
      <c r="X18" s="1818"/>
      <c r="Y18" s="3345"/>
      <c r="Z18" s="1819" t="str">
        <f>Q18</f>
        <v>基础设施水平</v>
      </c>
      <c r="AA18" s="1816">
        <f t="shared" ref="AA18" si="8">D18/F18</f>
        <v>1</v>
      </c>
      <c r="AB18" s="1816">
        <f t="shared" ref="AB18" si="9">D18/H18</f>
        <v>1</v>
      </c>
      <c r="AC18" s="1816">
        <f t="shared" ref="AC18" si="10">D18/J18</f>
        <v>1</v>
      </c>
    </row>
    <row r="19" spans="1:29" ht="15">
      <c r="A19" s="405"/>
      <c r="B19" s="634"/>
      <c r="C19" s="2612"/>
      <c r="D19" s="451"/>
      <c r="E19" s="2612"/>
      <c r="F19" s="454"/>
      <c r="G19" s="2612"/>
      <c r="H19" s="449"/>
      <c r="I19" s="448"/>
      <c r="J19" s="449"/>
      <c r="K19" s="1387"/>
      <c r="L19" s="1144"/>
      <c r="M19" s="1135"/>
      <c r="N19" s="1135"/>
      <c r="O19" s="1135"/>
      <c r="P19" s="3345"/>
      <c r="Q19" s="1815"/>
      <c r="R19" s="775"/>
      <c r="S19" s="776"/>
      <c r="T19" s="775"/>
      <c r="U19" s="776"/>
      <c r="V19" s="775"/>
      <c r="W19" s="776"/>
      <c r="X19" s="1818"/>
      <c r="Y19" s="3345"/>
      <c r="Z19" s="1819"/>
      <c r="AA19" s="1816">
        <v>1</v>
      </c>
      <c r="AB19" s="1816">
        <v>1</v>
      </c>
      <c r="AC19" s="1816">
        <v>1</v>
      </c>
    </row>
    <row r="20" spans="1:29" ht="57">
      <c r="A20" s="405"/>
      <c r="B20" s="632" t="s">
        <v>2711</v>
      </c>
      <c r="C20" s="2611"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45"/>
      <c r="Q20" s="1815" t="str">
        <f>B20</f>
        <v>自然及人文环境</v>
      </c>
      <c r="R20" s="775" t="s">
        <v>17</v>
      </c>
      <c r="S20" s="776">
        <f>F20</f>
        <v>100</v>
      </c>
      <c r="T20" s="775" t="s">
        <v>17</v>
      </c>
      <c r="U20" s="776">
        <f>H20</f>
        <v>100</v>
      </c>
      <c r="V20" s="775" t="s">
        <v>17</v>
      </c>
      <c r="W20" s="776">
        <f>J20</f>
        <v>100</v>
      </c>
      <c r="X20" s="1818"/>
      <c r="Y20" s="3345"/>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45"/>
      <c r="Q21" s="1815"/>
      <c r="R21" s="775"/>
      <c r="S21" s="776"/>
      <c r="T21" s="775"/>
      <c r="U21" s="776"/>
      <c r="V21" s="775"/>
      <c r="W21" s="776"/>
      <c r="X21" s="1818"/>
      <c r="Y21" s="3345"/>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45"/>
      <c r="Q22" s="1815" t="str">
        <f>B22</f>
        <v>楼层</v>
      </c>
      <c r="R22" s="775" t="s">
        <v>17</v>
      </c>
      <c r="S22" s="776">
        <f>F22</f>
        <v>100</v>
      </c>
      <c r="T22" s="775" t="s">
        <v>17</v>
      </c>
      <c r="U22" s="776">
        <f>H22</f>
        <v>100</v>
      </c>
      <c r="V22" s="775" t="s">
        <v>17</v>
      </c>
      <c r="W22" s="776">
        <f>J22</f>
        <v>100</v>
      </c>
      <c r="X22" s="1818"/>
      <c r="Y22" s="3345"/>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45"/>
      <c r="Q23" s="1815">
        <f>B23</f>
        <v>111</v>
      </c>
      <c r="R23" s="775" t="s">
        <v>17</v>
      </c>
      <c r="S23" s="776">
        <f>F23</f>
        <v>100</v>
      </c>
      <c r="T23" s="775" t="s">
        <v>17</v>
      </c>
      <c r="U23" s="776">
        <f>H23</f>
        <v>100</v>
      </c>
      <c r="V23" s="775" t="s">
        <v>17</v>
      </c>
      <c r="W23" s="776">
        <f>J23</f>
        <v>100</v>
      </c>
      <c r="X23" s="1818"/>
      <c r="Y23" s="3345"/>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45"/>
      <c r="Q24" s="1815">
        <f t="shared" ref="Q24:Q36" si="11">B24</f>
        <v>111</v>
      </c>
      <c r="R24" s="775" t="s">
        <v>17</v>
      </c>
      <c r="S24" s="776">
        <f>F24</f>
        <v>100</v>
      </c>
      <c r="T24" s="775" t="s">
        <v>17</v>
      </c>
      <c r="U24" s="776">
        <f>H24</f>
        <v>100</v>
      </c>
      <c r="V24" s="775" t="s">
        <v>17</v>
      </c>
      <c r="W24" s="776">
        <f>J24</f>
        <v>100</v>
      </c>
      <c r="X24" s="1818"/>
      <c r="Y24" s="3345"/>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45"/>
      <c r="Q25" s="1800">
        <f t="shared" si="11"/>
        <v>111</v>
      </c>
      <c r="R25" s="771" t="s">
        <v>17</v>
      </c>
      <c r="S25" s="772">
        <f>F25</f>
        <v>100</v>
      </c>
      <c r="T25" s="771" t="s">
        <v>17</v>
      </c>
      <c r="U25" s="772">
        <f>H25</f>
        <v>100</v>
      </c>
      <c r="V25" s="771" t="s">
        <v>17</v>
      </c>
      <c r="W25" s="772">
        <f>J25</f>
        <v>100</v>
      </c>
      <c r="X25" s="773"/>
      <c r="Y25" s="3345"/>
      <c r="Z25" s="55">
        <f>Q25</f>
        <v>111</v>
      </c>
      <c r="AA25" s="1816">
        <f>D25/F25</f>
        <v>1</v>
      </c>
      <c r="AB25" s="1816">
        <f>D25/H25</f>
        <v>1</v>
      </c>
      <c r="AC25" s="1816">
        <f>D25/J25</f>
        <v>1</v>
      </c>
    </row>
    <row r="26" spans="1:29" ht="15">
      <c r="A26" s="653" t="s">
        <v>2564</v>
      </c>
      <c r="B26" s="70" t="s">
        <v>2713</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1"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49"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49"/>
      <c r="Q27" s="777" t="str">
        <f t="shared" si="11"/>
        <v>项目停车位配比</v>
      </c>
      <c r="R27" s="778" t="s">
        <v>17</v>
      </c>
      <c r="S27" s="779">
        <f t="shared" si="12"/>
        <v>100</v>
      </c>
      <c r="T27" s="778" t="s">
        <v>17</v>
      </c>
      <c r="U27" s="779">
        <f t="shared" si="13"/>
        <v>100</v>
      </c>
      <c r="V27" s="778" t="s">
        <v>17</v>
      </c>
      <c r="W27" s="779">
        <f t="shared" si="14"/>
        <v>100</v>
      </c>
      <c r="X27" s="780"/>
      <c r="Y27" s="3349"/>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49"/>
      <c r="Q28" s="1815" t="str">
        <f t="shared" si="11"/>
        <v>公共部分装修</v>
      </c>
      <c r="R28" s="775" t="s">
        <v>17</v>
      </c>
      <c r="S28" s="776">
        <f t="shared" si="12"/>
        <v>100</v>
      </c>
      <c r="T28" s="775" t="s">
        <v>17</v>
      </c>
      <c r="U28" s="776">
        <f t="shared" si="13"/>
        <v>100</v>
      </c>
      <c r="V28" s="775" t="s">
        <v>17</v>
      </c>
      <c r="W28" s="776">
        <f t="shared" si="14"/>
        <v>100</v>
      </c>
      <c r="X28" s="1818"/>
      <c r="Y28" s="3349"/>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49"/>
      <c r="Q29" s="1815" t="str">
        <f t="shared" si="11"/>
        <v>成新率</v>
      </c>
      <c r="R29" s="775" t="s">
        <v>17</v>
      </c>
      <c r="S29" s="776" t="e">
        <f t="shared" si="12"/>
        <v>#N/A</v>
      </c>
      <c r="T29" s="775" t="s">
        <v>17</v>
      </c>
      <c r="U29" s="776" t="e">
        <f t="shared" si="13"/>
        <v>#N/A</v>
      </c>
      <c r="V29" s="775" t="s">
        <v>17</v>
      </c>
      <c r="W29" s="776" t="e">
        <f t="shared" si="14"/>
        <v>#N/A</v>
      </c>
      <c r="X29" s="1818"/>
      <c r="Y29" s="3349"/>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49"/>
      <c r="Q30" s="1815" t="str">
        <f t="shared" si="11"/>
        <v>物业等级</v>
      </c>
      <c r="R30" s="775" t="s">
        <v>17</v>
      </c>
      <c r="S30" s="776">
        <f t="shared" si="12"/>
        <v>100</v>
      </c>
      <c r="T30" s="775" t="s">
        <v>17</v>
      </c>
      <c r="U30" s="776">
        <f t="shared" si="13"/>
        <v>100</v>
      </c>
      <c r="V30" s="775" t="s">
        <v>17</v>
      </c>
      <c r="W30" s="776">
        <f t="shared" si="14"/>
        <v>100</v>
      </c>
      <c r="X30" s="1818"/>
      <c r="Y30" s="3349"/>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49"/>
      <c r="Q31" s="1800" t="str">
        <f t="shared" si="11"/>
        <v>停车位面积</v>
      </c>
      <c r="R31" s="771" t="s">
        <v>17</v>
      </c>
      <c r="S31" s="772" t="e">
        <f t="shared" si="12"/>
        <v>#N/A</v>
      </c>
      <c r="T31" s="771" t="s">
        <v>17</v>
      </c>
      <c r="U31" s="772" t="e">
        <f t="shared" si="13"/>
        <v>#N/A</v>
      </c>
      <c r="V31" s="771" t="s">
        <v>17</v>
      </c>
      <c r="W31" s="772" t="e">
        <f t="shared" si="14"/>
        <v>#N/A</v>
      </c>
      <c r="X31" s="773"/>
      <c r="Y31" s="3349"/>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49" t="s">
        <v>2566</v>
      </c>
      <c r="Q32" s="1815" t="str">
        <f t="shared" si="11"/>
        <v>车位类型</v>
      </c>
      <c r="R32" s="775" t="s">
        <v>17</v>
      </c>
      <c r="S32" s="776">
        <f t="shared" si="12"/>
        <v>100</v>
      </c>
      <c r="T32" s="775" t="s">
        <v>17</v>
      </c>
      <c r="U32" s="776">
        <f t="shared" si="13"/>
        <v>100</v>
      </c>
      <c r="V32" s="775" t="s">
        <v>17</v>
      </c>
      <c r="W32" s="776">
        <f t="shared" si="14"/>
        <v>100</v>
      </c>
      <c r="X32" s="1818"/>
      <c r="Y32" s="3349"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49"/>
      <c r="Q33" s="1815" t="str">
        <f t="shared" si="11"/>
        <v>是否直接入户</v>
      </c>
      <c r="R33" s="775" t="s">
        <v>17</v>
      </c>
      <c r="S33" s="776">
        <f t="shared" si="12"/>
        <v>100</v>
      </c>
      <c r="T33" s="775" t="s">
        <v>17</v>
      </c>
      <c r="U33" s="776">
        <f t="shared" si="13"/>
        <v>100</v>
      </c>
      <c r="V33" s="775" t="s">
        <v>17</v>
      </c>
      <c r="W33" s="776">
        <f t="shared" si="14"/>
        <v>100</v>
      </c>
      <c r="X33" s="1818"/>
      <c r="Y33" s="3349"/>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49"/>
      <c r="Q34" s="1815">
        <f t="shared" si="11"/>
        <v>111</v>
      </c>
      <c r="R34" s="775" t="s">
        <v>17</v>
      </c>
      <c r="S34" s="776">
        <f t="shared" si="12"/>
        <v>100</v>
      </c>
      <c r="T34" s="775" t="s">
        <v>17</v>
      </c>
      <c r="U34" s="776">
        <f t="shared" si="13"/>
        <v>100</v>
      </c>
      <c r="V34" s="775" t="s">
        <v>17</v>
      </c>
      <c r="W34" s="776">
        <f t="shared" si="14"/>
        <v>100</v>
      </c>
      <c r="X34" s="1818"/>
      <c r="Y34" s="3349"/>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49"/>
      <c r="Q35" s="777">
        <f t="shared" si="11"/>
        <v>111</v>
      </c>
      <c r="R35" s="778" t="s">
        <v>17</v>
      </c>
      <c r="S35" s="779">
        <f t="shared" si="12"/>
        <v>100</v>
      </c>
      <c r="T35" s="778" t="s">
        <v>17</v>
      </c>
      <c r="U35" s="779">
        <f t="shared" si="13"/>
        <v>100</v>
      </c>
      <c r="V35" s="778" t="s">
        <v>17</v>
      </c>
      <c r="W35" s="779">
        <f t="shared" si="14"/>
        <v>100</v>
      </c>
      <c r="X35" s="780"/>
      <c r="Y35" s="3349"/>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49"/>
      <c r="Q36" s="1815">
        <f t="shared" si="11"/>
        <v>111</v>
      </c>
      <c r="R36" s="775" t="s">
        <v>17</v>
      </c>
      <c r="S36" s="776">
        <f t="shared" si="12"/>
        <v>100</v>
      </c>
      <c r="T36" s="775" t="s">
        <v>17</v>
      </c>
      <c r="U36" s="776">
        <f t="shared" si="13"/>
        <v>100</v>
      </c>
      <c r="V36" s="775" t="s">
        <v>17</v>
      </c>
      <c r="W36" s="776">
        <f t="shared" si="14"/>
        <v>100</v>
      </c>
      <c r="X36" s="1818"/>
      <c r="Y36" s="3349"/>
      <c r="Z36" s="1819">
        <f t="shared" si="15"/>
        <v>111</v>
      </c>
      <c r="AA36" s="1816">
        <f t="shared" si="3"/>
        <v>1</v>
      </c>
      <c r="AB36" s="1816">
        <f t="shared" si="4"/>
        <v>1</v>
      </c>
      <c r="AC36" s="1816">
        <f t="shared" si="5"/>
        <v>1</v>
      </c>
    </row>
    <row r="37" spans="1:29" ht="15">
      <c r="A37" s="480" t="s">
        <v>2721</v>
      </c>
      <c r="B37" s="2699" t="s">
        <v>2722</v>
      </c>
      <c r="C37" s="1411" t="s">
        <v>1</v>
      </c>
      <c r="D37" s="1412"/>
      <c r="E37" s="1413"/>
      <c r="F37" s="1414"/>
      <c r="G37" s="1415"/>
      <c r="H37" s="1416"/>
      <c r="I37" s="1413"/>
      <c r="J37" s="1416"/>
      <c r="K37" s="620"/>
      <c r="L37" s="1147"/>
      <c r="M37" s="1148"/>
      <c r="N37" s="1135"/>
      <c r="O37" s="1148"/>
      <c r="P37" s="3351" t="str">
        <f>A37</f>
        <v>成交单价</v>
      </c>
      <c r="Q37" s="3351"/>
      <c r="R37" s="3352">
        <f>E37</f>
        <v>0</v>
      </c>
      <c r="S37" s="3352"/>
      <c r="T37" s="3352">
        <f>G37</f>
        <v>0</v>
      </c>
      <c r="U37" s="3352"/>
      <c r="V37" s="3352">
        <f>I37</f>
        <v>0</v>
      </c>
      <c r="W37" s="3352"/>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376" t="str">
        <f>A39</f>
        <v>估价对象XX用房的比较价值（楼面单价，元/平方米）</v>
      </c>
      <c r="Q39" s="3377"/>
      <c r="R39" s="3378" t="e">
        <f>IF(F1="售价",ROUND(AVERAGE(R38:V38),0),ROUND(AVERAGE(R38:V38),1))</f>
        <v>#DIV/0!</v>
      </c>
      <c r="S39" s="3378"/>
      <c r="T39" s="3378"/>
      <c r="U39" s="3378"/>
      <c r="V39" s="3378"/>
      <c r="W39" s="3378"/>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IF(C2="——",ROUND(C37*D3/10000,0),ROUND(C37*D3/10000,0)-D2)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SUMIF(46:46,YEAR(E7)&amp;"-"&amp;MONTH(E7),47:47)</f>
        <v>0</v>
      </c>
      <c r="G7" s="2700"/>
      <c r="H7" s="412">
        <f>SUMIF(46:46,YEAR(G7)&amp;"-"&amp;MONTH(G7),47:47)</f>
        <v>0</v>
      </c>
      <c r="I7" s="413"/>
      <c r="J7" s="412">
        <f>SUMIF(46:46,YEAR(I7)&amp;"-"&amp;MONTH(I7),47:47)</f>
        <v>0</v>
      </c>
      <c r="K7" s="612"/>
      <c r="L7" s="1136"/>
      <c r="M7" s="1137"/>
      <c r="N7" s="1137"/>
      <c r="O7" s="1137"/>
      <c r="P7" s="3308" t="s">
        <v>2550</v>
      </c>
      <c r="Q7" s="3341"/>
      <c r="R7" s="771" t="s">
        <v>17</v>
      </c>
      <c r="S7" s="772">
        <f t="shared" ref="S7:S14" si="0">F7</f>
        <v>0</v>
      </c>
      <c r="T7" s="771" t="s">
        <v>17</v>
      </c>
      <c r="U7" s="772">
        <f t="shared" ref="U7:U14" si="1">H7</f>
        <v>0</v>
      </c>
      <c r="V7" s="771" t="s">
        <v>17</v>
      </c>
      <c r="W7" s="772">
        <f t="shared" ref="W7:W14" si="2">J7</f>
        <v>0</v>
      </c>
      <c r="X7" s="773"/>
      <c r="Y7" s="3308" t="s">
        <v>2550</v>
      </c>
      <c r="Z7" s="3309"/>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51" t="s">
        <v>2556</v>
      </c>
      <c r="Q9" s="1800" t="str">
        <f t="shared" ref="Q9:Q14" si="6">B9</f>
        <v>用途</v>
      </c>
      <c r="R9" s="771" t="s">
        <v>17</v>
      </c>
      <c r="S9" s="772">
        <f t="shared" si="0"/>
        <v>100</v>
      </c>
      <c r="T9" s="771" t="s">
        <v>17</v>
      </c>
      <c r="U9" s="772">
        <f t="shared" si="1"/>
        <v>100</v>
      </c>
      <c r="V9" s="771" t="s">
        <v>17</v>
      </c>
      <c r="W9" s="772">
        <f t="shared" si="2"/>
        <v>100</v>
      </c>
      <c r="X9" s="773"/>
      <c r="Y9" s="3162"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51"/>
      <c r="Q11" s="1800">
        <f t="shared" si="6"/>
        <v>111</v>
      </c>
      <c r="R11" s="771" t="s">
        <v>17</v>
      </c>
      <c r="S11" s="772">
        <f t="shared" si="0"/>
        <v>100</v>
      </c>
      <c r="T11" s="771" t="s">
        <v>17</v>
      </c>
      <c r="U11" s="772">
        <f t="shared" si="1"/>
        <v>100</v>
      </c>
      <c r="V11" s="771" t="s">
        <v>17</v>
      </c>
      <c r="W11" s="772">
        <f t="shared" si="2"/>
        <v>100</v>
      </c>
      <c r="X11" s="773"/>
      <c r="Y11" s="3162"/>
      <c r="Z11" s="55">
        <f t="shared" si="7"/>
        <v>111</v>
      </c>
      <c r="AA11" s="774">
        <f t="shared" si="3"/>
        <v>1</v>
      </c>
      <c r="AB11" s="774">
        <f t="shared" si="4"/>
        <v>1</v>
      </c>
      <c r="AC11" s="774">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85.5">
      <c r="A14" s="441" t="s">
        <v>2560</v>
      </c>
      <c r="B14" s="69" t="s">
        <v>2710</v>
      </c>
      <c r="C14" s="2697"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44" t="s">
        <v>2561</v>
      </c>
      <c r="Q14" s="1815" t="str">
        <f t="shared" si="6"/>
        <v>交通便捷度</v>
      </c>
      <c r="R14" s="775" t="s">
        <v>17</v>
      </c>
      <c r="S14" s="776">
        <f t="shared" si="0"/>
        <v>100</v>
      </c>
      <c r="T14" s="775" t="s">
        <v>17</v>
      </c>
      <c r="U14" s="776">
        <f t="shared" si="1"/>
        <v>100</v>
      </c>
      <c r="V14" s="775" t="s">
        <v>17</v>
      </c>
      <c r="W14" s="776">
        <f t="shared" si="2"/>
        <v>100</v>
      </c>
      <c r="X14" s="1818"/>
      <c r="Y14" s="3344"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45"/>
      <c r="Q15" s="1815"/>
      <c r="R15" s="775"/>
      <c r="S15" s="776"/>
      <c r="T15" s="775"/>
      <c r="U15" s="776"/>
      <c r="V15" s="775"/>
      <c r="W15" s="776"/>
      <c r="X15" s="1818"/>
      <c r="Y15" s="3345"/>
      <c r="Z15" s="1819"/>
      <c r="AA15" s="1816">
        <v>1</v>
      </c>
      <c r="AB15" s="1816">
        <v>1</v>
      </c>
      <c r="AC15" s="1816">
        <v>1</v>
      </c>
    </row>
    <row r="16" spans="1:29" ht="42.75">
      <c r="A16" s="429"/>
      <c r="B16" s="452" t="s">
        <v>2689</v>
      </c>
      <c r="C16" s="2611"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45"/>
      <c r="Q16" s="1815" t="str">
        <f>B16</f>
        <v>公共配套设施</v>
      </c>
      <c r="R16" s="775" t="s">
        <v>17</v>
      </c>
      <c r="S16" s="776">
        <f>F16</f>
        <v>100</v>
      </c>
      <c r="T16" s="775" t="s">
        <v>17</v>
      </c>
      <c r="U16" s="776">
        <f>H16</f>
        <v>100</v>
      </c>
      <c r="V16" s="775" t="s">
        <v>17</v>
      </c>
      <c r="W16" s="776">
        <f>J16</f>
        <v>100</v>
      </c>
      <c r="X16" s="1818"/>
      <c r="Y16" s="3345"/>
      <c r="Z16" s="1819" t="str">
        <f>Q16</f>
        <v>公共配套设施</v>
      </c>
      <c r="AA16" s="1816">
        <f t="shared" si="3"/>
        <v>1</v>
      </c>
      <c r="AB16" s="1816">
        <f t="shared" si="4"/>
        <v>1</v>
      </c>
      <c r="AC16" s="1816">
        <f t="shared" si="5"/>
        <v>1</v>
      </c>
    </row>
    <row r="17" spans="1:29" ht="15">
      <c r="A17" s="429"/>
      <c r="B17" s="457"/>
      <c r="C17" s="2612"/>
      <c r="D17" s="449"/>
      <c r="E17" s="448"/>
      <c r="F17" s="450"/>
      <c r="G17" s="448"/>
      <c r="H17" s="449"/>
      <c r="I17" s="448"/>
      <c r="J17" s="449"/>
      <c r="K17" s="616"/>
      <c r="L17" s="1144"/>
      <c r="M17" s="1135"/>
      <c r="N17" s="1135"/>
      <c r="O17" s="1143"/>
      <c r="P17" s="3345"/>
      <c r="Q17" s="1815"/>
      <c r="R17" s="775"/>
      <c r="S17" s="776"/>
      <c r="T17" s="775"/>
      <c r="U17" s="776"/>
      <c r="V17" s="775"/>
      <c r="W17" s="776"/>
      <c r="X17" s="1818"/>
      <c r="Y17" s="3345"/>
      <c r="Z17" s="1819"/>
      <c r="AA17" s="1816">
        <v>1</v>
      </c>
      <c r="AB17" s="1816">
        <v>1</v>
      </c>
      <c r="AC17" s="1816">
        <v>1</v>
      </c>
    </row>
    <row r="18" spans="1:29" ht="28.5">
      <c r="A18" s="429"/>
      <c r="B18" s="1388" t="s">
        <v>2690</v>
      </c>
      <c r="C18" s="2611"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45"/>
      <c r="Q18" s="1815" t="str">
        <f>B18</f>
        <v>基础设施水平</v>
      </c>
      <c r="R18" s="775" t="s">
        <v>17</v>
      </c>
      <c r="S18" s="776">
        <f>F18</f>
        <v>100</v>
      </c>
      <c r="T18" s="775" t="s">
        <v>17</v>
      </c>
      <c r="U18" s="776">
        <f>H18</f>
        <v>100</v>
      </c>
      <c r="V18" s="775" t="s">
        <v>17</v>
      </c>
      <c r="W18" s="776">
        <f>J18</f>
        <v>100</v>
      </c>
      <c r="X18" s="1818"/>
      <c r="Y18" s="3345"/>
      <c r="Z18" s="1819" t="str">
        <f>Q18</f>
        <v>基础设施水平</v>
      </c>
      <c r="AA18" s="1816">
        <f t="shared" ref="AA18" si="8">D18/F18</f>
        <v>1</v>
      </c>
      <c r="AB18" s="1816">
        <f t="shared" ref="AB18" si="9">D18/H18</f>
        <v>1</v>
      </c>
      <c r="AC18" s="1816">
        <f t="shared" ref="AC18" si="10">D18/J18</f>
        <v>1</v>
      </c>
    </row>
    <row r="19" spans="1:29" ht="15">
      <c r="A19" s="429"/>
      <c r="B19" s="1388"/>
      <c r="C19" s="2612"/>
      <c r="D19" s="451"/>
      <c r="E19" s="2612"/>
      <c r="F19" s="454"/>
      <c r="G19" s="2612"/>
      <c r="H19" s="449"/>
      <c r="I19" s="448"/>
      <c r="J19" s="449"/>
      <c r="K19" s="1387"/>
      <c r="L19" s="1144"/>
      <c r="M19" s="1135"/>
      <c r="N19" s="1135"/>
      <c r="O19" s="1143"/>
      <c r="P19" s="3345"/>
      <c r="Q19" s="1815"/>
      <c r="R19" s="775"/>
      <c r="S19" s="776"/>
      <c r="T19" s="775"/>
      <c r="U19" s="776"/>
      <c r="V19" s="775"/>
      <c r="W19" s="776"/>
      <c r="X19" s="1818"/>
      <c r="Y19" s="3345"/>
      <c r="Z19" s="1819"/>
      <c r="AA19" s="1816">
        <v>1</v>
      </c>
      <c r="AB19" s="1816">
        <v>1</v>
      </c>
      <c r="AC19" s="1816">
        <v>1</v>
      </c>
    </row>
    <row r="20" spans="1:29" ht="57">
      <c r="A20" s="429"/>
      <c r="B20" s="452" t="s">
        <v>2711</v>
      </c>
      <c r="C20" s="2611"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45"/>
      <c r="Q20" s="1815" t="str">
        <f>B20</f>
        <v>自然及人文环境</v>
      </c>
      <c r="R20" s="775" t="s">
        <v>17</v>
      </c>
      <c r="S20" s="776">
        <f>F20</f>
        <v>100</v>
      </c>
      <c r="T20" s="775" t="s">
        <v>17</v>
      </c>
      <c r="U20" s="776">
        <f>H20</f>
        <v>100</v>
      </c>
      <c r="V20" s="775" t="s">
        <v>17</v>
      </c>
      <c r="W20" s="776">
        <f>J20</f>
        <v>100</v>
      </c>
      <c r="X20" s="1818"/>
      <c r="Y20" s="3345"/>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45"/>
      <c r="Q21" s="1815"/>
      <c r="R21" s="775"/>
      <c r="S21" s="776"/>
      <c r="T21" s="775"/>
      <c r="U21" s="776"/>
      <c r="V21" s="775"/>
      <c r="W21" s="776"/>
      <c r="X21" s="1818"/>
      <c r="Y21" s="3345"/>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45"/>
      <c r="Q22" s="1815" t="str">
        <f>B22</f>
        <v>楼层</v>
      </c>
      <c r="R22" s="775" t="s">
        <v>17</v>
      </c>
      <c r="S22" s="776">
        <f>F22</f>
        <v>100</v>
      </c>
      <c r="T22" s="775" t="s">
        <v>17</v>
      </c>
      <c r="U22" s="776">
        <f>H22</f>
        <v>100</v>
      </c>
      <c r="V22" s="775" t="s">
        <v>17</v>
      </c>
      <c r="W22" s="776">
        <f>J22</f>
        <v>100</v>
      </c>
      <c r="X22" s="1818"/>
      <c r="Y22" s="3345"/>
      <c r="Z22" s="1819" t="str">
        <f>Q22</f>
        <v>楼层</v>
      </c>
      <c r="AA22" s="1816">
        <f t="shared" si="3"/>
        <v>1</v>
      </c>
      <c r="AB22" s="1816">
        <f t="shared" si="4"/>
        <v>1</v>
      </c>
      <c r="AC22" s="1816">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45"/>
      <c r="Q23" s="1815">
        <f>B23</f>
        <v>111</v>
      </c>
      <c r="R23" s="775" t="s">
        <v>17</v>
      </c>
      <c r="S23" s="776">
        <f>F23</f>
        <v>100</v>
      </c>
      <c r="T23" s="775" t="s">
        <v>17</v>
      </c>
      <c r="U23" s="776">
        <f>H23</f>
        <v>100</v>
      </c>
      <c r="V23" s="775" t="s">
        <v>17</v>
      </c>
      <c r="W23" s="776">
        <f>J23</f>
        <v>100</v>
      </c>
      <c r="X23" s="1818"/>
      <c r="Y23" s="3345"/>
      <c r="Z23" s="1819">
        <f>Q23</f>
        <v>111</v>
      </c>
      <c r="AA23" s="1816">
        <f t="shared" si="3"/>
        <v>1</v>
      </c>
      <c r="AB23" s="1816">
        <f t="shared" si="4"/>
        <v>1</v>
      </c>
      <c r="AC23" s="1816">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45"/>
      <c r="Q24" s="1815">
        <f t="shared" ref="Q24:Q34" si="11">B24</f>
        <v>111</v>
      </c>
      <c r="R24" s="775" t="s">
        <v>17</v>
      </c>
      <c r="S24" s="776">
        <f>F24</f>
        <v>100</v>
      </c>
      <c r="T24" s="775" t="s">
        <v>17</v>
      </c>
      <c r="U24" s="776">
        <f>H24</f>
        <v>100</v>
      </c>
      <c r="V24" s="775" t="s">
        <v>17</v>
      </c>
      <c r="W24" s="776">
        <f>J24</f>
        <v>100</v>
      </c>
      <c r="X24" s="1818"/>
      <c r="Y24" s="3345"/>
      <c r="Z24" s="1819">
        <f>Q24</f>
        <v>111</v>
      </c>
      <c r="AA24" s="1816">
        <f t="shared" si="3"/>
        <v>1</v>
      </c>
      <c r="AB24" s="1816">
        <f t="shared" si="4"/>
        <v>1</v>
      </c>
      <c r="AC24" s="1816">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6"/>
      <c r="M25" s="1137"/>
      <c r="N25" s="1137"/>
      <c r="O25" s="1138"/>
      <c r="P25" s="3345"/>
      <c r="Q25" s="1800">
        <f t="shared" si="11"/>
        <v>111</v>
      </c>
      <c r="R25" s="771" t="s">
        <v>17</v>
      </c>
      <c r="S25" s="772">
        <f>F25</f>
        <v>100</v>
      </c>
      <c r="T25" s="771" t="s">
        <v>17</v>
      </c>
      <c r="U25" s="772">
        <f>H25</f>
        <v>100</v>
      </c>
      <c r="V25" s="771" t="s">
        <v>17</v>
      </c>
      <c r="W25" s="772">
        <f>J25</f>
        <v>100</v>
      </c>
      <c r="X25" s="773"/>
      <c r="Y25" s="3345"/>
      <c r="Z25" s="55">
        <f>Q25</f>
        <v>111</v>
      </c>
      <c r="AA25" s="1816">
        <f>D25/F25</f>
        <v>1</v>
      </c>
      <c r="AB25" s="1816">
        <f>D25/H25</f>
        <v>1</v>
      </c>
      <c r="AC25" s="1816">
        <f>D25/J25</f>
        <v>1</v>
      </c>
    </row>
    <row r="26" spans="1:29" ht="15">
      <c r="A26" s="467" t="s">
        <v>2564</v>
      </c>
      <c r="B26" s="71" t="s">
        <v>2715</v>
      </c>
      <c r="C26" s="2683"/>
      <c r="D26" s="468">
        <v>100</v>
      </c>
      <c r="E26" s="2683"/>
      <c r="F26" s="668">
        <f>SUMIF(77:77,E26,78:78)-SUMIF(77:77,C26,78:78)+100</f>
        <v>100</v>
      </c>
      <c r="G26" s="2683"/>
      <c r="H26" s="468">
        <f>SUMIF(77:77,G26,78:78)-SUMIF(77:77,C26,78:78)+100</f>
        <v>100</v>
      </c>
      <c r="I26" s="2683"/>
      <c r="J26" s="468">
        <f>SUMIF(77:77,I26,78:78)-SUMIF(77:77,C26,78:78)+100</f>
        <v>100</v>
      </c>
      <c r="K26" s="613"/>
      <c r="L26" s="1144"/>
      <c r="M26" s="1135"/>
      <c r="N26" s="1135"/>
      <c r="O26" s="1143"/>
      <c r="P26" s="3401"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49"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49"/>
      <c r="Q27" s="777" t="str">
        <f t="shared" si="11"/>
        <v>成新率</v>
      </c>
      <c r="R27" s="778" t="s">
        <v>17</v>
      </c>
      <c r="S27" s="779" t="e">
        <f t="shared" si="12"/>
        <v>#N/A</v>
      </c>
      <c r="T27" s="778" t="s">
        <v>17</v>
      </c>
      <c r="U27" s="779" t="e">
        <f t="shared" si="13"/>
        <v>#N/A</v>
      </c>
      <c r="V27" s="778" t="s">
        <v>17</v>
      </c>
      <c r="W27" s="779" t="e">
        <f t="shared" si="14"/>
        <v>#N/A</v>
      </c>
      <c r="X27" s="780"/>
      <c r="Y27" s="3349"/>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49"/>
      <c r="Q28" s="1815" t="str">
        <f t="shared" si="11"/>
        <v>物业等级</v>
      </c>
      <c r="R28" s="775" t="s">
        <v>17</v>
      </c>
      <c r="S28" s="776">
        <f t="shared" si="12"/>
        <v>100</v>
      </c>
      <c r="T28" s="775" t="s">
        <v>17</v>
      </c>
      <c r="U28" s="776">
        <f t="shared" si="13"/>
        <v>100</v>
      </c>
      <c r="V28" s="775" t="s">
        <v>17</v>
      </c>
      <c r="W28" s="776">
        <f t="shared" si="14"/>
        <v>100</v>
      </c>
      <c r="X28" s="1818"/>
      <c r="Y28" s="3349"/>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49"/>
      <c r="Q29" s="1815" t="str">
        <f t="shared" si="11"/>
        <v>有无电梯</v>
      </c>
      <c r="R29" s="775" t="s">
        <v>17</v>
      </c>
      <c r="S29" s="776">
        <f t="shared" si="12"/>
        <v>100</v>
      </c>
      <c r="T29" s="775" t="s">
        <v>17</v>
      </c>
      <c r="U29" s="776">
        <f t="shared" si="13"/>
        <v>100</v>
      </c>
      <c r="V29" s="775" t="s">
        <v>17</v>
      </c>
      <c r="W29" s="776">
        <f t="shared" si="14"/>
        <v>100</v>
      </c>
      <c r="X29" s="1818"/>
      <c r="Y29" s="3349"/>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49"/>
      <c r="Q30" s="1815" t="str">
        <f t="shared" si="11"/>
        <v>建筑面积</v>
      </c>
      <c r="R30" s="775" t="s">
        <v>17</v>
      </c>
      <c r="S30" s="776" t="e">
        <f t="shared" si="12"/>
        <v>#N/A</v>
      </c>
      <c r="T30" s="775" t="s">
        <v>17</v>
      </c>
      <c r="U30" s="776" t="e">
        <f t="shared" si="13"/>
        <v>#N/A</v>
      </c>
      <c r="V30" s="775" t="s">
        <v>17</v>
      </c>
      <c r="W30" s="776" t="e">
        <f t="shared" si="14"/>
        <v>#N/A</v>
      </c>
      <c r="X30" s="1818"/>
      <c r="Y30" s="3349"/>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49"/>
      <c r="Q31" s="1800" t="str">
        <f t="shared" si="11"/>
        <v>是否封闭</v>
      </c>
      <c r="R31" s="771" t="s">
        <v>17</v>
      </c>
      <c r="S31" s="772">
        <f t="shared" si="12"/>
        <v>100</v>
      </c>
      <c r="T31" s="771" t="s">
        <v>17</v>
      </c>
      <c r="U31" s="772">
        <f t="shared" si="13"/>
        <v>100</v>
      </c>
      <c r="V31" s="771" t="s">
        <v>17</v>
      </c>
      <c r="W31" s="772">
        <f t="shared" si="14"/>
        <v>100</v>
      </c>
      <c r="X31" s="773"/>
      <c r="Y31" s="3349"/>
      <c r="Z31" s="55" t="str">
        <f t="shared" si="15"/>
        <v>是否封闭</v>
      </c>
      <c r="AA31" s="774">
        <f t="shared" si="3"/>
        <v>1</v>
      </c>
      <c r="AB31" s="774">
        <f t="shared" si="4"/>
        <v>1</v>
      </c>
      <c r="AC31" s="774">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49" t="s">
        <v>2566</v>
      </c>
      <c r="Q32" s="1815">
        <f t="shared" si="11"/>
        <v>111</v>
      </c>
      <c r="R32" s="775" t="s">
        <v>17</v>
      </c>
      <c r="S32" s="776">
        <f t="shared" si="12"/>
        <v>100</v>
      </c>
      <c r="T32" s="775" t="s">
        <v>17</v>
      </c>
      <c r="U32" s="776">
        <f t="shared" si="13"/>
        <v>100</v>
      </c>
      <c r="V32" s="775" t="s">
        <v>17</v>
      </c>
      <c r="W32" s="776">
        <f t="shared" si="14"/>
        <v>100</v>
      </c>
      <c r="X32" s="1818"/>
      <c r="Y32" s="3349" t="s">
        <v>2566</v>
      </c>
      <c r="Z32" s="1819">
        <f t="shared" si="15"/>
        <v>111</v>
      </c>
      <c r="AA32" s="1816">
        <f t="shared" si="3"/>
        <v>1</v>
      </c>
      <c r="AB32" s="1816">
        <f t="shared" si="4"/>
        <v>1</v>
      </c>
      <c r="AC32" s="1816">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49"/>
      <c r="Q33" s="1815">
        <f t="shared" si="11"/>
        <v>111</v>
      </c>
      <c r="R33" s="775" t="s">
        <v>17</v>
      </c>
      <c r="S33" s="776">
        <f t="shared" si="12"/>
        <v>100</v>
      </c>
      <c r="T33" s="775" t="s">
        <v>17</v>
      </c>
      <c r="U33" s="776">
        <f t="shared" si="13"/>
        <v>100</v>
      </c>
      <c r="V33" s="775" t="s">
        <v>17</v>
      </c>
      <c r="W33" s="776">
        <f t="shared" si="14"/>
        <v>100</v>
      </c>
      <c r="X33" s="1818"/>
      <c r="Y33" s="3349"/>
      <c r="Z33" s="1819">
        <f t="shared" si="15"/>
        <v>111</v>
      </c>
      <c r="AA33" s="1816">
        <f t="shared" si="3"/>
        <v>1</v>
      </c>
      <c r="AB33" s="1816">
        <f t="shared" si="4"/>
        <v>1</v>
      </c>
      <c r="AC33" s="1816">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4"/>
      <c r="M34" s="1135"/>
      <c r="N34" s="1135"/>
      <c r="O34" s="1143"/>
      <c r="P34" s="3349"/>
      <c r="Q34" s="1815">
        <f t="shared" si="11"/>
        <v>111</v>
      </c>
      <c r="R34" s="775" t="s">
        <v>17</v>
      </c>
      <c r="S34" s="776">
        <f t="shared" si="12"/>
        <v>100</v>
      </c>
      <c r="T34" s="775" t="s">
        <v>17</v>
      </c>
      <c r="U34" s="776">
        <f t="shared" si="13"/>
        <v>100</v>
      </c>
      <c r="V34" s="775" t="s">
        <v>17</v>
      </c>
      <c r="W34" s="776">
        <f t="shared" si="14"/>
        <v>100</v>
      </c>
      <c r="X34" s="1818"/>
      <c r="Y34" s="3349"/>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351" t="str">
        <f>A35</f>
        <v>成交单价（元/平方米）</v>
      </c>
      <c r="Q35" s="3351"/>
      <c r="R35" s="3352">
        <f>E35</f>
        <v>0</v>
      </c>
      <c r="S35" s="3352"/>
      <c r="T35" s="3352">
        <f>G35</f>
        <v>0</v>
      </c>
      <c r="U35" s="3352"/>
      <c r="V35" s="3352">
        <f>I35</f>
        <v>0</v>
      </c>
      <c r="W35" s="3352"/>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376" t="str">
        <f>A37</f>
        <v>估价对象XX用房的比较价值（楼面单价，元/平方米）</v>
      </c>
      <c r="Q37" s="3377"/>
      <c r="R37" s="3378" t="e">
        <f>IF(F1="售价",ROUND(AVERAGE(R36:V36),0),ROUND(AVERAGE(R36:V36),1))</f>
        <v>#DIV/0!</v>
      </c>
      <c r="S37" s="3378"/>
      <c r="T37" s="3378"/>
      <c r="U37" s="3378"/>
      <c r="V37" s="3378"/>
      <c r="W37" s="3378"/>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2331</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30"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30"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30" s="117" customFormat="1" ht="15.75" thickBot="1">
      <c r="A7" s="409" t="s">
        <v>2549</v>
      </c>
      <c r="B7" s="410"/>
      <c r="C7" s="411">
        <f>'数据-取费表'!B2</f>
        <v>43104</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5" si="3">D8/F8</f>
        <v>#DIV/0!</v>
      </c>
      <c r="AB8" s="774" t="e">
        <f t="shared" ref="AB8:AB45" si="4">D8/H8</f>
        <v>#DIV/0!</v>
      </c>
      <c r="AC8" s="774" t="e">
        <f t="shared" ref="AC8:AC45" si="5">D8/J8</f>
        <v>#DIV/0!</v>
      </c>
    </row>
    <row r="9" spans="1:30" s="117" customFormat="1">
      <c r="A9" s="416" t="s">
        <v>2554</v>
      </c>
      <c r="B9" s="71" t="s">
        <v>2555</v>
      </c>
      <c r="C9" s="2703"/>
      <c r="D9" s="135">
        <v>100</v>
      </c>
      <c r="E9" s="2703"/>
      <c r="F9" s="135">
        <f>SUMIF(75:75,E9,76:76)-SUMIF(75:75,C9,76:76)+100</f>
        <v>100</v>
      </c>
      <c r="G9" s="2703"/>
      <c r="H9" s="135">
        <f>SUMIF(75:75,G9,76:76)-SUMIF(75:75,C9,76:76)+100</f>
        <v>100</v>
      </c>
      <c r="I9" s="2703"/>
      <c r="J9" s="135">
        <f>SUMIF(75:75,I9,76:76)-SUMIF(75:75,C9,76:76)+100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351"/>
      <c r="Q10" s="1800" t="str">
        <f t="shared" si="6"/>
        <v>土地使用年限（年）</v>
      </c>
      <c r="R10" s="771" t="s">
        <v>17</v>
      </c>
      <c r="S10" s="772">
        <f t="shared" si="0"/>
        <v>117</v>
      </c>
      <c r="T10" s="771" t="s">
        <v>17</v>
      </c>
      <c r="U10" s="772">
        <f t="shared" si="1"/>
        <v>117</v>
      </c>
      <c r="V10" s="771" t="s">
        <v>17</v>
      </c>
      <c r="W10" s="772">
        <f t="shared" si="2"/>
        <v>117</v>
      </c>
      <c r="X10" s="773"/>
      <c r="Y10" s="3162"/>
      <c r="Z10" s="55" t="str">
        <f t="shared" si="7"/>
        <v>土地使用年限（年）</v>
      </c>
      <c r="AA10" s="774">
        <f t="shared" si="3"/>
        <v>0.85470085470085466</v>
      </c>
      <c r="AB10" s="774">
        <f t="shared" si="4"/>
        <v>0.85470085470085466</v>
      </c>
      <c r="AC10" s="774">
        <f t="shared" si="5"/>
        <v>0.85470085470085466</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30" s="117" customFormat="1" ht="15">
      <c r="A12" s="432"/>
      <c r="B12" s="2604"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51"/>
      <c r="Q12" s="1800" t="str">
        <f t="shared" si="6"/>
        <v>配建</v>
      </c>
      <c r="R12" s="771" t="s">
        <v>17</v>
      </c>
      <c r="S12" s="772">
        <f t="shared" si="0"/>
        <v>100</v>
      </c>
      <c r="T12" s="771" t="s">
        <v>17</v>
      </c>
      <c r="U12" s="772">
        <f t="shared" si="1"/>
        <v>100</v>
      </c>
      <c r="V12" s="771" t="s">
        <v>17</v>
      </c>
      <c r="W12" s="772">
        <f t="shared" si="2"/>
        <v>100</v>
      </c>
      <c r="X12" s="773"/>
      <c r="Y12" s="3162"/>
      <c r="Z12" s="55" t="str">
        <f t="shared" si="7"/>
        <v>配建</v>
      </c>
      <c r="AA12" s="774">
        <f>D12/F12</f>
        <v>1</v>
      </c>
      <c r="AB12" s="774">
        <f>D12/H12</f>
        <v>1</v>
      </c>
      <c r="AC12" s="774">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D13/F13</f>
        <v>1</v>
      </c>
      <c r="AB13" s="774">
        <f>D13/H13</f>
        <v>1</v>
      </c>
      <c r="AC13" s="774">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D14/F14</f>
        <v>1</v>
      </c>
      <c r="AB14" s="774">
        <f>D14/H14</f>
        <v>1</v>
      </c>
      <c r="AC14" s="774">
        <f>D14/J14</f>
        <v>1</v>
      </c>
    </row>
    <row r="15" spans="1:30" ht="99.75">
      <c r="A15" s="441" t="s">
        <v>2560</v>
      </c>
      <c r="B15" s="69" t="s">
        <v>2087</v>
      </c>
      <c r="C15" s="2607"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44" t="s">
        <v>2561</v>
      </c>
      <c r="Q15" s="1815" t="str">
        <f t="shared" si="6"/>
        <v>居住社区成熟度</v>
      </c>
      <c r="R15" s="775" t="s">
        <v>17</v>
      </c>
      <c r="S15" s="776">
        <f t="shared" si="0"/>
        <v>100</v>
      </c>
      <c r="T15" s="775" t="s">
        <v>17</v>
      </c>
      <c r="U15" s="776">
        <f t="shared" si="1"/>
        <v>100</v>
      </c>
      <c r="V15" s="775" t="s">
        <v>17</v>
      </c>
      <c r="W15" s="776">
        <f t="shared" si="2"/>
        <v>100</v>
      </c>
      <c r="X15" s="1818"/>
      <c r="Y15" s="3344" t="s">
        <v>2561</v>
      </c>
      <c r="Z15" s="1819" t="str">
        <f t="shared" si="7"/>
        <v>居住社区成熟度</v>
      </c>
      <c r="AA15" s="1816">
        <f t="shared" si="3"/>
        <v>1</v>
      </c>
      <c r="AB15" s="1816">
        <f t="shared" si="4"/>
        <v>1</v>
      </c>
      <c r="AC15" s="1816">
        <f t="shared" si="5"/>
        <v>1</v>
      </c>
    </row>
    <row r="16" spans="1:30" ht="15">
      <c r="A16" s="429"/>
      <c r="B16" s="447"/>
      <c r="C16" s="448"/>
      <c r="D16" s="449"/>
      <c r="E16" s="2609"/>
      <c r="F16" s="449"/>
      <c r="G16" s="2609"/>
      <c r="H16" s="451"/>
      <c r="I16" s="2608"/>
      <c r="J16" s="449"/>
      <c r="K16" s="673"/>
      <c r="L16" s="1144"/>
      <c r="M16" s="1135"/>
      <c r="N16" s="1135"/>
      <c r="O16" s="1143"/>
      <c r="P16" s="3345"/>
      <c r="Q16" s="1815"/>
      <c r="R16" s="775"/>
      <c r="S16" s="776"/>
      <c r="T16" s="775"/>
      <c r="U16" s="776"/>
      <c r="V16" s="775"/>
      <c r="W16" s="776"/>
      <c r="X16" s="1818"/>
      <c r="Y16" s="3345"/>
      <c r="Z16" s="1819"/>
      <c r="AA16" s="1816">
        <v>1</v>
      </c>
      <c r="AB16" s="1816">
        <v>1</v>
      </c>
      <c r="AC16" s="1816">
        <v>1</v>
      </c>
    </row>
    <row r="17" spans="1:29" ht="71.25">
      <c r="A17" s="429"/>
      <c r="B17" s="452" t="s">
        <v>2654</v>
      </c>
      <c r="C17" s="2668"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45"/>
      <c r="Q17" s="1815" t="str">
        <f>B17</f>
        <v>商业繁华度</v>
      </c>
      <c r="R17" s="775" t="s">
        <v>17</v>
      </c>
      <c r="S17" s="776">
        <f>F17</f>
        <v>100</v>
      </c>
      <c r="T17" s="775" t="s">
        <v>17</v>
      </c>
      <c r="U17" s="776">
        <f>H17</f>
        <v>100</v>
      </c>
      <c r="V17" s="775" t="s">
        <v>17</v>
      </c>
      <c r="W17" s="776">
        <f>J17</f>
        <v>100</v>
      </c>
      <c r="X17" s="1818"/>
      <c r="Y17" s="3345"/>
      <c r="Z17" s="1819" t="str">
        <f>Q17</f>
        <v>商业繁华度</v>
      </c>
      <c r="AA17" s="1816">
        <f t="shared" si="3"/>
        <v>1</v>
      </c>
      <c r="AB17" s="1816">
        <f t="shared" si="4"/>
        <v>1</v>
      </c>
      <c r="AC17" s="1816">
        <f t="shared" si="5"/>
        <v>1</v>
      </c>
    </row>
    <row r="18" spans="1:29" ht="15">
      <c r="A18" s="429"/>
      <c r="B18" s="457"/>
      <c r="C18" s="2612"/>
      <c r="D18" s="451"/>
      <c r="E18" s="2614"/>
      <c r="F18" s="451"/>
      <c r="G18" s="2614"/>
      <c r="H18" s="449"/>
      <c r="I18" s="2613"/>
      <c r="J18" s="449"/>
      <c r="K18" s="673"/>
      <c r="L18" s="1144"/>
      <c r="M18" s="1135"/>
      <c r="N18" s="1135"/>
      <c r="O18" s="1143"/>
      <c r="P18" s="3345"/>
      <c r="Q18" s="1815"/>
      <c r="R18" s="775"/>
      <c r="S18" s="776"/>
      <c r="T18" s="775"/>
      <c r="U18" s="776"/>
      <c r="V18" s="775"/>
      <c r="W18" s="776"/>
      <c r="X18" s="1818"/>
      <c r="Y18" s="3345"/>
      <c r="Z18" s="1819"/>
      <c r="AA18" s="1816">
        <v>1</v>
      </c>
      <c r="AB18" s="1816">
        <v>1</v>
      </c>
      <c r="AC18" s="1816">
        <v>1</v>
      </c>
    </row>
    <row r="19" spans="1:29" ht="71.25">
      <c r="A19" s="429"/>
      <c r="B19" s="452" t="s">
        <v>2688</v>
      </c>
      <c r="C19" s="2668"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45"/>
      <c r="Q19" s="1815" t="str">
        <f>B19</f>
        <v>办公集聚程度</v>
      </c>
      <c r="R19" s="775" t="s">
        <v>17</v>
      </c>
      <c r="S19" s="776">
        <f>F19</f>
        <v>100</v>
      </c>
      <c r="T19" s="775" t="s">
        <v>17</v>
      </c>
      <c r="U19" s="776">
        <f>H19</f>
        <v>100</v>
      </c>
      <c r="V19" s="775" t="s">
        <v>17</v>
      </c>
      <c r="W19" s="776">
        <f>J19</f>
        <v>100</v>
      </c>
      <c r="X19" s="1818"/>
      <c r="Y19" s="3345"/>
      <c r="Z19" s="1819" t="str">
        <f>Q19</f>
        <v>办公集聚程度</v>
      </c>
      <c r="AA19" s="1816">
        <f t="shared" si="3"/>
        <v>1</v>
      </c>
      <c r="AB19" s="1816">
        <f t="shared" si="4"/>
        <v>1</v>
      </c>
      <c r="AC19" s="1816">
        <f t="shared" si="5"/>
        <v>1</v>
      </c>
    </row>
    <row r="20" spans="1:29" ht="15">
      <c r="A20" s="429"/>
      <c r="B20" s="457"/>
      <c r="C20" s="448"/>
      <c r="D20" s="449"/>
      <c r="E20" s="2609"/>
      <c r="F20" s="449"/>
      <c r="G20" s="2609"/>
      <c r="H20" s="449"/>
      <c r="I20" s="2608"/>
      <c r="J20" s="449"/>
      <c r="K20" s="673"/>
      <c r="L20" s="1144"/>
      <c r="M20" s="1135"/>
      <c r="N20" s="1135"/>
      <c r="O20" s="1143"/>
      <c r="P20" s="3345"/>
      <c r="Q20" s="1815"/>
      <c r="R20" s="775"/>
      <c r="S20" s="776"/>
      <c r="T20" s="775"/>
      <c r="U20" s="776"/>
      <c r="V20" s="775"/>
      <c r="W20" s="776"/>
      <c r="X20" s="1818"/>
      <c r="Y20" s="3345"/>
      <c r="Z20" s="1819"/>
      <c r="AA20" s="1816">
        <v>1</v>
      </c>
      <c r="AB20" s="1816">
        <v>1</v>
      </c>
      <c r="AC20" s="1816">
        <v>1</v>
      </c>
    </row>
    <row r="21" spans="1:29" ht="85.5">
      <c r="A21" s="429"/>
      <c r="B21" s="452" t="s">
        <v>2710</v>
      </c>
      <c r="C21" s="2611"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45"/>
      <c r="Q21" s="1815" t="str">
        <f>B21</f>
        <v>交通便捷度</v>
      </c>
      <c r="R21" s="775" t="s">
        <v>17</v>
      </c>
      <c r="S21" s="776">
        <f>F21</f>
        <v>100</v>
      </c>
      <c r="T21" s="775" t="s">
        <v>17</v>
      </c>
      <c r="U21" s="776">
        <f>H21</f>
        <v>100</v>
      </c>
      <c r="V21" s="775" t="s">
        <v>17</v>
      </c>
      <c r="W21" s="776">
        <f>J21</f>
        <v>100</v>
      </c>
      <c r="X21" s="1818"/>
      <c r="Y21" s="3345"/>
      <c r="Z21" s="1819" t="str">
        <f>Q21</f>
        <v>交通便捷度</v>
      </c>
      <c r="AA21" s="1816">
        <f t="shared" si="3"/>
        <v>1</v>
      </c>
      <c r="AB21" s="1816">
        <f t="shared" si="4"/>
        <v>1</v>
      </c>
      <c r="AC21" s="1816">
        <f t="shared" si="5"/>
        <v>1</v>
      </c>
    </row>
    <row r="22" spans="1:29" ht="15">
      <c r="A22" s="429"/>
      <c r="B22" s="1388"/>
      <c r="C22" s="448"/>
      <c r="D22" s="451"/>
      <c r="E22" s="2609"/>
      <c r="F22" s="449"/>
      <c r="G22" s="2609"/>
      <c r="H22" s="449"/>
      <c r="I22" s="2608"/>
      <c r="J22" s="449"/>
      <c r="K22" s="673"/>
      <c r="L22" s="1144"/>
      <c r="M22" s="1135"/>
      <c r="N22" s="1135"/>
      <c r="O22" s="1143"/>
      <c r="P22" s="3345"/>
      <c r="Q22" s="1815"/>
      <c r="R22" s="775"/>
      <c r="S22" s="776"/>
      <c r="T22" s="775"/>
      <c r="U22" s="776"/>
      <c r="V22" s="775"/>
      <c r="W22" s="776"/>
      <c r="X22" s="1818"/>
      <c r="Y22" s="3345"/>
      <c r="Z22" s="1819"/>
      <c r="AA22" s="1816">
        <v>1</v>
      </c>
      <c r="AB22" s="1816">
        <v>1</v>
      </c>
      <c r="AC22" s="1816">
        <v>1</v>
      </c>
    </row>
    <row r="23" spans="1:29" ht="15">
      <c r="A23" s="405"/>
      <c r="B23" s="452" t="s">
        <v>2749</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45"/>
      <c r="Q23" s="1815" t="str">
        <f t="shared" ref="Q23:Q37" si="8">B23</f>
        <v>区域土地利用方向</v>
      </c>
      <c r="R23" s="775" t="s">
        <v>17</v>
      </c>
      <c r="S23" s="776">
        <f>F23</f>
        <v>100</v>
      </c>
      <c r="T23" s="775" t="s">
        <v>17</v>
      </c>
      <c r="U23" s="776">
        <f>H23</f>
        <v>100</v>
      </c>
      <c r="V23" s="775" t="s">
        <v>17</v>
      </c>
      <c r="W23" s="776">
        <f>J23</f>
        <v>100</v>
      </c>
      <c r="X23" s="1818"/>
      <c r="Y23" s="3345"/>
      <c r="Z23" s="1819" t="str">
        <f>Q23</f>
        <v>区域土地利用方向</v>
      </c>
      <c r="AA23" s="1816">
        <f t="shared" si="3"/>
        <v>1</v>
      </c>
      <c r="AB23" s="1816">
        <f t="shared" si="4"/>
        <v>1</v>
      </c>
      <c r="AC23" s="1816">
        <f t="shared" si="5"/>
        <v>1</v>
      </c>
    </row>
    <row r="24" spans="1:29" ht="15">
      <c r="A24" s="405"/>
      <c r="B24" s="457"/>
      <c r="C24" s="617"/>
      <c r="D24" s="449"/>
      <c r="E24" s="2609"/>
      <c r="F24" s="449"/>
      <c r="G24" s="2608"/>
      <c r="H24" s="449"/>
      <c r="I24" s="2608"/>
      <c r="J24" s="449"/>
      <c r="K24" s="813"/>
      <c r="L24" s="1144"/>
      <c r="M24" s="1135"/>
      <c r="N24" s="1135"/>
      <c r="O24" s="1143"/>
      <c r="P24" s="3345"/>
      <c r="Q24" s="1815"/>
      <c r="R24" s="775"/>
      <c r="S24" s="776"/>
      <c r="T24" s="775"/>
      <c r="U24" s="776"/>
      <c r="V24" s="775"/>
      <c r="W24" s="776"/>
      <c r="X24" s="1818"/>
      <c r="Y24" s="3345"/>
      <c r="Z24" s="1819"/>
      <c r="AA24" s="1816"/>
      <c r="AB24" s="1816"/>
      <c r="AC24" s="1816"/>
    </row>
    <row r="25" spans="1:29" ht="57">
      <c r="A25" s="405"/>
      <c r="B25" s="1388" t="s">
        <v>2750</v>
      </c>
      <c r="C25" s="2668"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45"/>
      <c r="Q25" s="1815" t="str">
        <f t="shared" si="8"/>
        <v>自然及人文环境状况</v>
      </c>
      <c r="R25" s="775" t="s">
        <v>17</v>
      </c>
      <c r="S25" s="776">
        <f>F25</f>
        <v>100</v>
      </c>
      <c r="T25" s="775" t="s">
        <v>17</v>
      </c>
      <c r="U25" s="776">
        <f>H25</f>
        <v>100</v>
      </c>
      <c r="V25" s="775" t="s">
        <v>17</v>
      </c>
      <c r="W25" s="776">
        <f>J25</f>
        <v>100</v>
      </c>
      <c r="X25" s="1818"/>
      <c r="Y25" s="3345"/>
      <c r="Z25" s="1819" t="str">
        <f>Q25</f>
        <v>自然及人文环境状况</v>
      </c>
      <c r="AA25" s="1816">
        <f t="shared" si="3"/>
        <v>1</v>
      </c>
      <c r="AB25" s="1816">
        <f t="shared" si="4"/>
        <v>1</v>
      </c>
      <c r="AC25" s="1816">
        <f t="shared" si="5"/>
        <v>1</v>
      </c>
    </row>
    <row r="26" spans="1:29" ht="15">
      <c r="A26" s="405"/>
      <c r="B26" s="457"/>
      <c r="C26" s="448"/>
      <c r="D26" s="449"/>
      <c r="E26" s="2615"/>
      <c r="F26" s="449"/>
      <c r="G26" s="2615"/>
      <c r="H26" s="449"/>
      <c r="I26" s="448"/>
      <c r="J26" s="449"/>
      <c r="K26" s="673"/>
      <c r="L26" s="1144"/>
      <c r="M26" s="1135"/>
      <c r="N26" s="1135"/>
      <c r="O26" s="1143"/>
      <c r="P26" s="3345"/>
      <c r="Q26" s="1815"/>
      <c r="R26" s="775"/>
      <c r="S26" s="776"/>
      <c r="T26" s="775"/>
      <c r="U26" s="776"/>
      <c r="V26" s="775"/>
      <c r="W26" s="776"/>
      <c r="X26" s="1818"/>
      <c r="Y26" s="3345"/>
      <c r="Z26" s="1819"/>
      <c r="AA26" s="1816">
        <v>1</v>
      </c>
      <c r="AB26" s="1816">
        <v>1</v>
      </c>
      <c r="AC26" s="1816">
        <v>1</v>
      </c>
    </row>
    <row r="27" spans="1:29" s="117" customFormat="1" ht="42.75">
      <c r="A27" s="650"/>
      <c r="B27" s="1388" t="s">
        <v>2655</v>
      </c>
      <c r="C27" s="2611"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45"/>
      <c r="Q27" s="1800" t="str">
        <f t="shared" si="8"/>
        <v>公共配套设施</v>
      </c>
      <c r="R27" s="771" t="s">
        <v>17</v>
      </c>
      <c r="S27" s="772">
        <f>F27</f>
        <v>100</v>
      </c>
      <c r="T27" s="771" t="s">
        <v>17</v>
      </c>
      <c r="U27" s="772">
        <f>H27</f>
        <v>100</v>
      </c>
      <c r="V27" s="771" t="s">
        <v>17</v>
      </c>
      <c r="W27" s="772">
        <f>J27</f>
        <v>100</v>
      </c>
      <c r="X27" s="773"/>
      <c r="Y27" s="3345"/>
      <c r="Z27" s="55" t="str">
        <f>Q27</f>
        <v>公共配套设施</v>
      </c>
      <c r="AA27" s="1816">
        <f>D27/F27</f>
        <v>1</v>
      </c>
      <c r="AB27" s="1816">
        <f>D27/H27</f>
        <v>1</v>
      </c>
      <c r="AC27" s="1816">
        <f>D27/J27</f>
        <v>1</v>
      </c>
    </row>
    <row r="28" spans="1:29" s="117" customFormat="1" ht="15">
      <c r="A28" s="650"/>
      <c r="B28" s="457"/>
      <c r="C28" s="2704"/>
      <c r="D28" s="449"/>
      <c r="E28" s="2615"/>
      <c r="F28" s="449"/>
      <c r="G28" s="2615"/>
      <c r="H28" s="449"/>
      <c r="I28" s="448"/>
      <c r="J28" s="449"/>
      <c r="K28" s="673"/>
      <c r="L28" s="1136"/>
      <c r="M28" s="1137"/>
      <c r="N28" s="1137"/>
      <c r="O28" s="1138"/>
      <c r="P28" s="3345"/>
      <c r="Q28" s="1800"/>
      <c r="R28" s="771"/>
      <c r="S28" s="772"/>
      <c r="T28" s="771"/>
      <c r="U28" s="772"/>
      <c r="V28" s="771"/>
      <c r="W28" s="772"/>
      <c r="X28" s="773"/>
      <c r="Y28" s="3345"/>
      <c r="Z28" s="55"/>
      <c r="AA28" s="1816">
        <v>1</v>
      </c>
      <c r="AB28" s="1816">
        <v>1</v>
      </c>
      <c r="AC28" s="1816">
        <v>1</v>
      </c>
    </row>
    <row r="29" spans="1:29" s="117" customFormat="1" ht="28.5">
      <c r="A29" s="650"/>
      <c r="B29" s="1388" t="s">
        <v>2656</v>
      </c>
      <c r="C29" s="2611"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45"/>
      <c r="Q29" s="1800" t="str">
        <f t="shared" ref="Q29" si="9">B29</f>
        <v>基础设施水平</v>
      </c>
      <c r="R29" s="771" t="s">
        <v>17</v>
      </c>
      <c r="S29" s="772">
        <f>F29</f>
        <v>100</v>
      </c>
      <c r="T29" s="771" t="s">
        <v>17</v>
      </c>
      <c r="U29" s="772">
        <f>H29</f>
        <v>100</v>
      </c>
      <c r="V29" s="771" t="s">
        <v>17</v>
      </c>
      <c r="W29" s="772">
        <f>J29</f>
        <v>100</v>
      </c>
      <c r="X29" s="773"/>
      <c r="Y29" s="3345"/>
      <c r="Z29" s="55" t="str">
        <f>Q29</f>
        <v>基础设施水平</v>
      </c>
      <c r="AA29" s="1816">
        <f>D29/F29</f>
        <v>1</v>
      </c>
      <c r="AB29" s="1816">
        <f>D29/H29</f>
        <v>1</v>
      </c>
      <c r="AC29" s="1816">
        <f>D29/J29</f>
        <v>1</v>
      </c>
    </row>
    <row r="30" spans="1:29" s="117" customFormat="1" ht="15">
      <c r="A30" s="650"/>
      <c r="B30" s="457"/>
      <c r="C30" s="2704"/>
      <c r="D30" s="449"/>
      <c r="E30" s="2705"/>
      <c r="F30" s="449"/>
      <c r="G30" s="2705"/>
      <c r="H30" s="449"/>
      <c r="I30" s="2705"/>
      <c r="J30" s="449"/>
      <c r="K30" s="673"/>
      <c r="L30" s="1136"/>
      <c r="M30" s="1137"/>
      <c r="N30" s="1137"/>
      <c r="O30" s="1138"/>
      <c r="P30" s="3345"/>
      <c r="Q30" s="1800"/>
      <c r="R30" s="771"/>
      <c r="S30" s="772"/>
      <c r="T30" s="771"/>
      <c r="U30" s="772"/>
      <c r="V30" s="771"/>
      <c r="W30" s="772"/>
      <c r="X30" s="773"/>
      <c r="Y30" s="3345"/>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45"/>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45"/>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45"/>
      <c r="Q32" s="1815" t="str">
        <f t="shared" si="8"/>
        <v>毗邻道路的类型与等级</v>
      </c>
      <c r="R32" s="775" t="s">
        <v>17</v>
      </c>
      <c r="S32" s="776">
        <f t="shared" si="10"/>
        <v>100</v>
      </c>
      <c r="T32" s="775" t="s">
        <v>17</v>
      </c>
      <c r="U32" s="776">
        <f t="shared" si="11"/>
        <v>100</v>
      </c>
      <c r="V32" s="775" t="s">
        <v>17</v>
      </c>
      <c r="W32" s="776">
        <f t="shared" si="12"/>
        <v>100</v>
      </c>
      <c r="X32" s="1818"/>
      <c r="Y32" s="3345"/>
      <c r="Z32" s="1819" t="str">
        <f t="shared" si="13"/>
        <v>毗邻道路的类型与等级</v>
      </c>
      <c r="AA32" s="1816">
        <f t="shared" si="3"/>
        <v>1</v>
      </c>
      <c r="AB32" s="1816">
        <f t="shared" si="4"/>
        <v>1</v>
      </c>
      <c r="AC32" s="1816">
        <f t="shared" si="5"/>
        <v>1</v>
      </c>
    </row>
    <row r="33" spans="1:29" ht="15">
      <c r="A33" s="429"/>
      <c r="B33" s="457"/>
      <c r="C33" s="448"/>
      <c r="D33" s="449"/>
      <c r="E33" s="2615"/>
      <c r="F33" s="449"/>
      <c r="G33" s="2615"/>
      <c r="H33" s="449"/>
      <c r="I33" s="448"/>
      <c r="J33" s="449"/>
      <c r="K33" s="614"/>
      <c r="L33" s="1144"/>
      <c r="M33" s="1135"/>
      <c r="N33" s="1135"/>
      <c r="O33" s="1143"/>
      <c r="P33" s="3345"/>
      <c r="Q33" s="1815"/>
      <c r="R33" s="775"/>
      <c r="S33" s="776"/>
      <c r="T33" s="775"/>
      <c r="U33" s="776"/>
      <c r="V33" s="775"/>
      <c r="W33" s="776"/>
      <c r="X33" s="1818"/>
      <c r="Y33" s="3345"/>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45"/>
      <c r="Q34" s="1815" t="str">
        <f t="shared" si="8"/>
        <v>土地级别</v>
      </c>
      <c r="R34" s="775" t="s">
        <v>17</v>
      </c>
      <c r="S34" s="776">
        <f t="shared" si="10"/>
        <v>100</v>
      </c>
      <c r="T34" s="775" t="s">
        <v>17</v>
      </c>
      <c r="U34" s="776">
        <f t="shared" si="11"/>
        <v>100</v>
      </c>
      <c r="V34" s="775" t="s">
        <v>17</v>
      </c>
      <c r="W34" s="776">
        <f t="shared" si="12"/>
        <v>100</v>
      </c>
      <c r="X34" s="1818"/>
      <c r="Y34" s="3345"/>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45"/>
      <c r="Q35" s="1815">
        <f t="shared" si="8"/>
        <v>111</v>
      </c>
      <c r="R35" s="775" t="s">
        <v>17</v>
      </c>
      <c r="S35" s="776">
        <f t="shared" si="10"/>
        <v>100</v>
      </c>
      <c r="T35" s="775" t="s">
        <v>17</v>
      </c>
      <c r="U35" s="776">
        <f t="shared" si="11"/>
        <v>100</v>
      </c>
      <c r="V35" s="775" t="s">
        <v>17</v>
      </c>
      <c r="W35" s="776">
        <f t="shared" si="12"/>
        <v>100</v>
      </c>
      <c r="X35" s="1818"/>
      <c r="Y35" s="3345"/>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1" t="s">
        <v>2566</v>
      </c>
      <c r="Q36" s="1815">
        <f t="shared" si="8"/>
        <v>111</v>
      </c>
      <c r="R36" s="775" t="s">
        <v>17</v>
      </c>
      <c r="S36" s="776">
        <f t="shared" si="10"/>
        <v>100</v>
      </c>
      <c r="T36" s="775" t="s">
        <v>17</v>
      </c>
      <c r="U36" s="776">
        <f t="shared" si="11"/>
        <v>100</v>
      </c>
      <c r="V36" s="775" t="s">
        <v>17</v>
      </c>
      <c r="W36" s="776">
        <f t="shared" si="12"/>
        <v>100</v>
      </c>
      <c r="X36" s="1818"/>
      <c r="Y36" s="3349"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49"/>
      <c r="Q37" s="1815">
        <f t="shared" si="8"/>
        <v>111</v>
      </c>
      <c r="R37" s="778" t="s">
        <v>17</v>
      </c>
      <c r="S37" s="779">
        <f t="shared" si="10"/>
        <v>100</v>
      </c>
      <c r="T37" s="778" t="s">
        <v>17</v>
      </c>
      <c r="U37" s="779">
        <f t="shared" si="11"/>
        <v>100</v>
      </c>
      <c r="V37" s="778" t="s">
        <v>17</v>
      </c>
      <c r="W37" s="779">
        <f t="shared" si="12"/>
        <v>100</v>
      </c>
      <c r="X37" s="780"/>
      <c r="Y37" s="3349"/>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49"/>
      <c r="Q38" s="1815" t="str">
        <f>B38</f>
        <v>宗地面积</v>
      </c>
      <c r="R38" s="775" t="s">
        <v>17</v>
      </c>
      <c r="S38" s="776" t="e">
        <f t="shared" si="10"/>
        <v>#N/A</v>
      </c>
      <c r="T38" s="775" t="s">
        <v>17</v>
      </c>
      <c r="U38" s="776" t="e">
        <f t="shared" si="11"/>
        <v>#N/A</v>
      </c>
      <c r="V38" s="775" t="s">
        <v>17</v>
      </c>
      <c r="W38" s="776" t="e">
        <f t="shared" si="12"/>
        <v>#N/A</v>
      </c>
      <c r="X38" s="1818"/>
      <c r="Y38" s="3349"/>
      <c r="Z38" s="1819" t="str">
        <f t="shared" si="13"/>
        <v>宗地面积</v>
      </c>
      <c r="AA38" s="1816" t="e">
        <f t="shared" si="3"/>
        <v>#N/A</v>
      </c>
      <c r="AB38" s="1816" t="e">
        <f t="shared" si="4"/>
        <v>#N/A</v>
      </c>
      <c r="AC38" s="1816" t="e">
        <f t="shared" si="5"/>
        <v>#N/A</v>
      </c>
    </row>
    <row r="39" spans="1:29" ht="15">
      <c r="A39" s="473"/>
      <c r="B39" s="423" t="s">
        <v>2753</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4"/>
      <c r="M39" s="1135"/>
      <c r="N39" s="1135"/>
      <c r="O39" s="1143"/>
      <c r="P39" s="3349"/>
      <c r="Q39" s="1815" t="str">
        <f t="shared" ref="Q39:Q45" si="14">B39</f>
        <v>宗地形状</v>
      </c>
      <c r="R39" s="775" t="s">
        <v>17</v>
      </c>
      <c r="S39" s="776">
        <f t="shared" si="10"/>
        <v>100</v>
      </c>
      <c r="T39" s="775" t="s">
        <v>17</v>
      </c>
      <c r="U39" s="776">
        <f t="shared" si="11"/>
        <v>100</v>
      </c>
      <c r="V39" s="775" t="s">
        <v>17</v>
      </c>
      <c r="W39" s="776">
        <f t="shared" si="12"/>
        <v>100</v>
      </c>
      <c r="X39" s="1818"/>
      <c r="Y39" s="3349"/>
      <c r="Z39" s="1819" t="str">
        <f t="shared" si="13"/>
        <v>宗地形状</v>
      </c>
      <c r="AA39" s="1816">
        <f t="shared" si="3"/>
        <v>1</v>
      </c>
      <c r="AB39" s="1816">
        <f t="shared" si="4"/>
        <v>1</v>
      </c>
      <c r="AC39" s="1816">
        <f t="shared" si="5"/>
        <v>1</v>
      </c>
    </row>
    <row r="40" spans="1:29" ht="15">
      <c r="A40" s="473"/>
      <c r="B40" s="423" t="s">
        <v>2754</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4"/>
      <c r="M40" s="1135"/>
      <c r="N40" s="1135"/>
      <c r="O40" s="1143"/>
      <c r="P40" s="3349"/>
      <c r="Q40" s="1815" t="str">
        <f t="shared" si="14"/>
        <v>临街宽度及深度</v>
      </c>
      <c r="R40" s="775" t="s">
        <v>17</v>
      </c>
      <c r="S40" s="776">
        <f t="shared" si="10"/>
        <v>100</v>
      </c>
      <c r="T40" s="775" t="s">
        <v>17</v>
      </c>
      <c r="U40" s="776">
        <f t="shared" si="11"/>
        <v>100</v>
      </c>
      <c r="V40" s="775" t="s">
        <v>17</v>
      </c>
      <c r="W40" s="776">
        <f t="shared" si="12"/>
        <v>100</v>
      </c>
      <c r="X40" s="1818"/>
      <c r="Y40" s="3349"/>
      <c r="Z40" s="1819" t="str">
        <f t="shared" si="13"/>
        <v>临街宽度及深度</v>
      </c>
      <c r="AA40" s="1816">
        <f t="shared" si="3"/>
        <v>1</v>
      </c>
      <c r="AB40" s="1816">
        <f t="shared" si="4"/>
        <v>1</v>
      </c>
      <c r="AC40" s="1816">
        <f t="shared" si="5"/>
        <v>1</v>
      </c>
    </row>
    <row r="41" spans="1:29" s="117" customFormat="1" ht="15">
      <c r="A41" s="474"/>
      <c r="B41" s="423" t="s">
        <v>2755</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6"/>
      <c r="M41" s="1137"/>
      <c r="N41" s="1137"/>
      <c r="O41" s="1138"/>
      <c r="P41" s="3349"/>
      <c r="Q41" s="1815" t="str">
        <f t="shared" si="14"/>
        <v>宗地开发程度</v>
      </c>
      <c r="R41" s="771" t="s">
        <v>17</v>
      </c>
      <c r="S41" s="772">
        <f t="shared" si="10"/>
        <v>100</v>
      </c>
      <c r="T41" s="771" t="s">
        <v>17</v>
      </c>
      <c r="U41" s="772">
        <f t="shared" si="11"/>
        <v>100</v>
      </c>
      <c r="V41" s="771" t="s">
        <v>17</v>
      </c>
      <c r="W41" s="772">
        <f t="shared" si="12"/>
        <v>100</v>
      </c>
      <c r="X41" s="773"/>
      <c r="Y41" s="3349"/>
      <c r="Z41" s="55" t="str">
        <f t="shared" si="13"/>
        <v>宗地开发程度</v>
      </c>
      <c r="AA41" s="774">
        <f t="shared" si="3"/>
        <v>1</v>
      </c>
      <c r="AB41" s="774">
        <f t="shared" si="4"/>
        <v>1</v>
      </c>
      <c r="AC41" s="774">
        <f t="shared" si="5"/>
        <v>1</v>
      </c>
    </row>
    <row r="42" spans="1:29" ht="15">
      <c r="A42" s="473"/>
      <c r="B42" s="423" t="s">
        <v>2756</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4"/>
      <c r="M42" s="1135"/>
      <c r="N42" s="1135"/>
      <c r="O42" s="1143"/>
      <c r="P42" s="3349" t="s">
        <v>2566</v>
      </c>
      <c r="Q42" s="1815" t="str">
        <f t="shared" si="14"/>
        <v>工程地质条件</v>
      </c>
      <c r="R42" s="775" t="s">
        <v>17</v>
      </c>
      <c r="S42" s="776">
        <f t="shared" si="10"/>
        <v>100</v>
      </c>
      <c r="T42" s="775" t="s">
        <v>17</v>
      </c>
      <c r="U42" s="776">
        <f t="shared" si="11"/>
        <v>100</v>
      </c>
      <c r="V42" s="775" t="s">
        <v>17</v>
      </c>
      <c r="W42" s="776">
        <f t="shared" si="12"/>
        <v>100</v>
      </c>
      <c r="X42" s="1818"/>
      <c r="Y42" s="3349"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49"/>
      <c r="Q43" s="1815">
        <f t="shared" si="14"/>
        <v>111</v>
      </c>
      <c r="R43" s="775" t="s">
        <v>17</v>
      </c>
      <c r="S43" s="776">
        <f t="shared" si="10"/>
        <v>100</v>
      </c>
      <c r="T43" s="775" t="s">
        <v>17</v>
      </c>
      <c r="U43" s="776">
        <f t="shared" si="11"/>
        <v>100</v>
      </c>
      <c r="V43" s="775" t="s">
        <v>17</v>
      </c>
      <c r="W43" s="776">
        <f t="shared" si="12"/>
        <v>100</v>
      </c>
      <c r="X43" s="1818"/>
      <c r="Y43" s="3349"/>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49"/>
      <c r="Q44" s="1815">
        <f t="shared" si="14"/>
        <v>111</v>
      </c>
      <c r="R44" s="775" t="s">
        <v>17</v>
      </c>
      <c r="S44" s="776">
        <f t="shared" si="10"/>
        <v>100</v>
      </c>
      <c r="T44" s="775" t="s">
        <v>17</v>
      </c>
      <c r="U44" s="776">
        <f t="shared" si="11"/>
        <v>100</v>
      </c>
      <c r="V44" s="775" t="s">
        <v>17</v>
      </c>
      <c r="W44" s="776">
        <f t="shared" si="12"/>
        <v>100</v>
      </c>
      <c r="X44" s="1818"/>
      <c r="Y44" s="3349"/>
      <c r="Z44" s="1819">
        <f t="shared" si="13"/>
        <v>111</v>
      </c>
      <c r="AA44" s="1816">
        <f t="shared" si="3"/>
        <v>1</v>
      </c>
      <c r="AB44" s="1816">
        <f t="shared" si="4"/>
        <v>1</v>
      </c>
      <c r="AC44" s="1816">
        <f t="shared" si="5"/>
        <v>1</v>
      </c>
    </row>
    <row r="45" spans="1:29" s="472" customFormat="1" ht="15.75" thickBot="1">
      <c r="A45" s="469"/>
      <c r="B45" s="1391">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49"/>
      <c r="Q45" s="1815">
        <f t="shared" si="14"/>
        <v>111</v>
      </c>
      <c r="R45" s="778" t="s">
        <v>17</v>
      </c>
      <c r="S45" s="779">
        <f t="shared" si="10"/>
        <v>100</v>
      </c>
      <c r="T45" s="778" t="s">
        <v>17</v>
      </c>
      <c r="U45" s="779">
        <f t="shared" si="11"/>
        <v>100</v>
      </c>
      <c r="V45" s="778" t="s">
        <v>17</v>
      </c>
      <c r="W45" s="779">
        <f t="shared" si="12"/>
        <v>100</v>
      </c>
      <c r="X45" s="780"/>
      <c r="Y45" s="3349"/>
      <c r="Z45" s="781">
        <f t="shared" si="13"/>
        <v>111</v>
      </c>
      <c r="AA45" s="1816">
        <f t="shared" si="3"/>
        <v>1</v>
      </c>
      <c r="AB45" s="1816">
        <f t="shared" si="4"/>
        <v>1</v>
      </c>
      <c r="AC45" s="1816">
        <f t="shared" si="5"/>
        <v>1</v>
      </c>
    </row>
    <row r="46" spans="1:29" ht="15">
      <c r="A46" s="480" t="s">
        <v>2721</v>
      </c>
      <c r="B46" s="2708" t="s">
        <v>2757</v>
      </c>
      <c r="C46" s="683" t="s">
        <v>1</v>
      </c>
      <c r="D46" s="482"/>
      <c r="E46" s="483"/>
      <c r="F46" s="484"/>
      <c r="G46" s="485"/>
      <c r="H46" s="486"/>
      <c r="I46" s="483"/>
      <c r="J46" s="486"/>
      <c r="K46" s="784"/>
      <c r="L46" s="1147"/>
      <c r="M46" s="1148"/>
      <c r="N46" s="1135"/>
      <c r="O46" s="1148"/>
      <c r="P46" s="3351" t="str">
        <f>A46</f>
        <v>成交单价</v>
      </c>
      <c r="Q46" s="3351"/>
      <c r="R46" s="3339">
        <f>E46</f>
        <v>0</v>
      </c>
      <c r="S46" s="3339"/>
      <c r="T46" s="3339">
        <f>G46</f>
        <v>0</v>
      </c>
      <c r="U46" s="3339"/>
      <c r="V46" s="3339">
        <f>I46</f>
        <v>0</v>
      </c>
      <c r="W46" s="3339"/>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351" t="str">
        <f>A47</f>
        <v>比较价值（元/平方米）</v>
      </c>
      <c r="Q47" s="3351"/>
      <c r="R47" s="3402" t="e">
        <f>ROUND(PRODUCT(R46,AA7:AA45),0)</f>
        <v>#DIV/0!</v>
      </c>
      <c r="S47" s="3402"/>
      <c r="T47" s="3402" t="e">
        <f>ROUND(PRODUCT(T46,AB7:AB45),0)</f>
        <v>#DIV/0!</v>
      </c>
      <c r="U47" s="3402"/>
      <c r="V47" s="3402" t="e">
        <f>ROUND(PRODUCT(V46,AC7:AC45),0)</f>
        <v>#DIV/0!</v>
      </c>
      <c r="W47" s="3402"/>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376" t="str">
        <f>A48</f>
        <v>估价对象XX用房的比较价值（楼面单价，元/平方米）</v>
      </c>
      <c r="Q48" s="3377"/>
      <c r="R48" s="3403" t="e">
        <f>ROUND(AVERAGE(R47:V47),0)</f>
        <v>#DIV/0!</v>
      </c>
      <c r="S48" s="3403"/>
      <c r="T48" s="3403"/>
      <c r="U48" s="3403"/>
      <c r="V48" s="3403"/>
      <c r="W48" s="3403"/>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09" t="s">
        <v>2761</v>
      </c>
      <c r="D55" s="2710" t="s">
        <v>2762</v>
      </c>
      <c r="E55" s="687" t="s">
        <v>2763</v>
      </c>
      <c r="F55" s="1111" t="s">
        <v>2764</v>
      </c>
      <c r="G55" s="3326" t="s">
        <v>2765</v>
      </c>
      <c r="H55" s="3404"/>
      <c r="I55" s="144" t="s">
        <v>2766</v>
      </c>
      <c r="J55" s="2711">
        <f>项目基本情况!F35</f>
        <v>0</v>
      </c>
      <c r="K55" s="2712" t="s">
        <v>2767</v>
      </c>
      <c r="L55" s="1110"/>
      <c r="M55" s="1148"/>
      <c r="N55" s="1148"/>
      <c r="O55" s="1148"/>
    </row>
    <row r="56" spans="1:15" s="693" customFormat="1">
      <c r="A56" s="689" t="s">
        <v>2768</v>
      </c>
      <c r="B56" s="690" t="e">
        <f>C48</f>
        <v>#DIV/0!</v>
      </c>
      <c r="C56" s="691">
        <v>1</v>
      </c>
      <c r="D56" s="1167">
        <v>1</v>
      </c>
      <c r="E56" s="691">
        <f>'数据-汇总表'!E8+'数据-汇总表'!E9</f>
        <v>16057.43</v>
      </c>
      <c r="F56" s="1107" t="e">
        <f t="shared" ref="F56:F65" si="15">ROUND(B56*E56/10000,0)</f>
        <v>#DIV/0!</v>
      </c>
      <c r="G56" s="3322"/>
      <c r="H56" s="3351"/>
      <c r="I56" s="1112">
        <v>1</v>
      </c>
      <c r="J56" s="1115">
        <v>1</v>
      </c>
      <c r="K56" s="1149"/>
      <c r="L56" s="945"/>
      <c r="M56" s="945"/>
      <c r="N56" s="945"/>
      <c r="O56" s="945"/>
    </row>
    <row r="57" spans="1:15" s="693" customFormat="1">
      <c r="A57" s="694" t="s">
        <v>2769</v>
      </c>
      <c r="B57" s="263" t="e">
        <f>ROUND($C$48*C57*D57,0)</f>
        <v>#DIV/0!</v>
      </c>
      <c r="C57" s="201">
        <f t="shared" ref="C57:C65" si="16">IF($C$55="北京市系数",I57,J57)</f>
        <v>0.7</v>
      </c>
      <c r="D57" s="1168">
        <v>0.25</v>
      </c>
      <c r="E57" s="695"/>
      <c r="F57" s="1107" t="e">
        <f t="shared" si="15"/>
        <v>#DIV/0!</v>
      </c>
      <c r="G57" s="3405" t="s">
        <v>2770</v>
      </c>
      <c r="H57" s="1108" t="str">
        <f>项目基本情况!B37</f>
        <v>三级</v>
      </c>
      <c r="I57" s="1112">
        <f>SUMIF(修正!A45:A56,H57,修正!B45:B56)</f>
        <v>0.7</v>
      </c>
      <c r="J57" s="1116"/>
      <c r="K57" s="1148"/>
      <c r="L57" s="945"/>
      <c r="M57" s="945"/>
      <c r="N57" s="945"/>
      <c r="O57" s="945"/>
    </row>
    <row r="58" spans="1:15" s="693" customFormat="1">
      <c r="A58" s="694" t="s">
        <v>2771</v>
      </c>
      <c r="B58" s="263" t="e">
        <f t="shared" ref="B58:B65" si="17">ROUND($C$48*C58*D58,0)</f>
        <v>#DIV/0!</v>
      </c>
      <c r="C58" s="201">
        <f t="shared" si="16"/>
        <v>0.4</v>
      </c>
      <c r="D58" s="1168">
        <v>0.25</v>
      </c>
      <c r="E58" s="695"/>
      <c r="F58" s="1107" t="e">
        <f t="shared" si="15"/>
        <v>#DIV/0!</v>
      </c>
      <c r="G58" s="3405"/>
      <c r="H58" s="1108" t="str">
        <f>项目基本情况!B37</f>
        <v>三级</v>
      </c>
      <c r="I58" s="1112">
        <f>SUMIF(修正!A45:A56,H58,修正!C45:C56)</f>
        <v>0.4</v>
      </c>
      <c r="J58" s="1116"/>
      <c r="K58" s="1149"/>
      <c r="L58" s="945"/>
      <c r="M58" s="945"/>
      <c r="N58" s="945"/>
      <c r="O58" s="945"/>
    </row>
    <row r="59" spans="1:15" s="693" customFormat="1">
      <c r="A59" s="694" t="s">
        <v>2772</v>
      </c>
      <c r="B59" s="263" t="e">
        <f t="shared" si="17"/>
        <v>#DIV/0!</v>
      </c>
      <c r="C59" s="201">
        <f t="shared" si="16"/>
        <v>0.28000000000000003</v>
      </c>
      <c r="D59" s="1168">
        <v>0.25</v>
      </c>
      <c r="E59" s="695"/>
      <c r="F59" s="1107" t="e">
        <f t="shared" si="15"/>
        <v>#DIV/0!</v>
      </c>
      <c r="G59" s="3405"/>
      <c r="H59" s="1108" t="str">
        <f>项目基本情况!B37</f>
        <v>三级</v>
      </c>
      <c r="I59" s="1112">
        <f>SUMIF(修正!A45:A56,H59,修正!D45:D56)</f>
        <v>0.28000000000000003</v>
      </c>
      <c r="J59" s="1116"/>
      <c r="K59" s="1148"/>
      <c r="L59" s="945"/>
      <c r="M59" s="945"/>
      <c r="N59" s="945"/>
      <c r="O59" s="945"/>
    </row>
    <row r="60" spans="1:15" s="693" customFormat="1">
      <c r="A60" s="694" t="s">
        <v>2773</v>
      </c>
      <c r="B60" s="263" t="e">
        <f t="shared" si="17"/>
        <v>#DIV/0!</v>
      </c>
      <c r="C60" s="201">
        <f t="shared" si="16"/>
        <v>0.25</v>
      </c>
      <c r="D60" s="1168">
        <v>0.25</v>
      </c>
      <c r="E60" s="695"/>
      <c r="F60" s="1107" t="e">
        <f t="shared" si="15"/>
        <v>#DIV/0!</v>
      </c>
      <c r="G60" s="3405"/>
      <c r="H60" s="1108" t="str">
        <f>项目基本情况!B37</f>
        <v>三级</v>
      </c>
      <c r="I60" s="1112">
        <f>SUMIF(修正!A45:A56,H60,修正!E45:E56)</f>
        <v>0.25</v>
      </c>
      <c r="J60" s="1116"/>
      <c r="K60" s="1149"/>
      <c r="L60" s="945"/>
      <c r="M60" s="945"/>
      <c r="N60" s="945"/>
      <c r="O60" s="945"/>
    </row>
    <row r="61" spans="1:15" s="693" customFormat="1">
      <c r="A61" s="694" t="s">
        <v>2774</v>
      </c>
      <c r="B61" s="263" t="e">
        <f t="shared" si="17"/>
        <v>#DIV/0!</v>
      </c>
      <c r="C61" s="201">
        <f t="shared" si="16"/>
        <v>0.25</v>
      </c>
      <c r="D61" s="1168">
        <v>0.25</v>
      </c>
      <c r="E61" s="262">
        <f>'数据-汇总表'!E11</f>
        <v>0</v>
      </c>
      <c r="F61" s="1107" t="e">
        <f t="shared" si="15"/>
        <v>#DIV/0!</v>
      </c>
      <c r="G61" s="2713" t="s">
        <v>2775</v>
      </c>
      <c r="H61" s="1108" t="str">
        <f>项目基本情况!C37</f>
        <v>三级</v>
      </c>
      <c r="I61" s="1112">
        <f>SUMIF(修正!A45:A56,H61,修正!F45:F56)</f>
        <v>0.25</v>
      </c>
      <c r="J61" s="1116"/>
      <c r="K61" s="1148"/>
      <c r="L61" s="945"/>
      <c r="M61" s="945"/>
      <c r="N61" s="945"/>
      <c r="O61" s="945"/>
    </row>
    <row r="62" spans="1:15" s="693" customFormat="1">
      <c r="A62" s="694" t="s">
        <v>2776</v>
      </c>
      <c r="B62" s="263" t="e">
        <f t="shared" si="17"/>
        <v>#DIV/0!</v>
      </c>
      <c r="C62" s="201">
        <f t="shared" si="16"/>
        <v>0.25</v>
      </c>
      <c r="D62" s="1168">
        <v>0.25</v>
      </c>
      <c r="E62" s="262">
        <f>'数据-汇总表'!E12</f>
        <v>0</v>
      </c>
      <c r="F62" s="1107" t="e">
        <f t="shared" si="15"/>
        <v>#DIV/0!</v>
      </c>
      <c r="G62" s="1113" t="s">
        <v>2777</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0.2</v>
      </c>
      <c r="D64" s="1168">
        <v>0.25</v>
      </c>
      <c r="E64" s="262">
        <f>'数据-汇总表'!E14</f>
        <v>6958.0599999999995</v>
      </c>
      <c r="F64" s="1107" t="e">
        <f t="shared" si="15"/>
        <v>#DIV/0!</v>
      </c>
      <c r="G64" s="2713" t="s">
        <v>2770</v>
      </c>
      <c r="H64" s="1108" t="str">
        <f>项目基本情况!B37</f>
        <v>三级</v>
      </c>
      <c r="I64" s="1112">
        <f>SUMIF(修正!A45:A56,H64,修正!H45:H56)</f>
        <v>0.2</v>
      </c>
      <c r="J64" s="1116"/>
      <c r="K64" s="1149"/>
      <c r="L64" s="945"/>
      <c r="M64" s="945"/>
      <c r="N64" s="945"/>
      <c r="O64" s="945"/>
    </row>
    <row r="65" spans="1:17" s="693" customFormat="1" ht="15" thickBot="1">
      <c r="A65" s="694" t="s">
        <v>2781</v>
      </c>
      <c r="B65" s="263" t="e">
        <f t="shared" si="17"/>
        <v>#DIV/0!</v>
      </c>
      <c r="C65" s="201">
        <f t="shared" si="16"/>
        <v>0.2</v>
      </c>
      <c r="D65" s="1168">
        <v>0.25</v>
      </c>
      <c r="E65" s="262">
        <f>'数据-汇总表'!E15</f>
        <v>0</v>
      </c>
      <c r="F65" s="1107" t="e">
        <f t="shared" si="15"/>
        <v>#DIV/0!</v>
      </c>
      <c r="G65" s="2714" t="s">
        <v>2775</v>
      </c>
      <c r="H65" s="1118" t="str">
        <f>项目基本情况!C37</f>
        <v>三级</v>
      </c>
      <c r="I65" s="1114">
        <f>SUMIF(修正!A45:A56,H65,修正!H45:H56)</f>
        <v>0.2</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23015.489999999998</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5" t="s">
        <v>2783</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6" t="s">
        <v>2784</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2331</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406" t="s">
        <v>2798</v>
      </c>
      <c r="D6" s="3407"/>
      <c r="E6" s="3408" t="s">
        <v>2798</v>
      </c>
      <c r="F6" s="3409"/>
      <c r="G6" s="3406" t="s">
        <v>2798</v>
      </c>
      <c r="H6" s="3407"/>
      <c r="I6" s="3406" t="s">
        <v>2798</v>
      </c>
      <c r="J6" s="3407"/>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SUMIF(65:65,YEAR(E7)&amp;"-"&amp;INT((MONTH(E7)+2)/3),66:66)</f>
        <v>0</v>
      </c>
      <c r="G7" s="2700"/>
      <c r="H7" s="412">
        <f>SUMIF(65:65,YEAR(G7)&amp;"-"&amp;INT((MONTH(G7)+2)/3),66:66)</f>
        <v>0</v>
      </c>
      <c r="I7" s="2700"/>
      <c r="J7" s="412">
        <f>SUMIF(65:65,YEAR(I7)&amp;"-"&amp;INT((MONTH(I7)+2)/3),66:66)</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0" si="3">D8/F8</f>
        <v>#DIV/0!</v>
      </c>
      <c r="AB8" s="774" t="e">
        <f t="shared" ref="AB8:AB40" si="4">D8/H8</f>
        <v>#DIV/0!</v>
      </c>
      <c r="AC8" s="774" t="e">
        <f t="shared" ref="AC8:AC40" si="5">D8/J8</f>
        <v>#DIV/0!</v>
      </c>
    </row>
    <row r="9" spans="1:29" s="117" customFormat="1">
      <c r="A9" s="416" t="s">
        <v>2554</v>
      </c>
      <c r="B9" s="71" t="s">
        <v>2555</v>
      </c>
      <c r="C9" s="2703"/>
      <c r="D9" s="135">
        <v>100</v>
      </c>
      <c r="E9" s="2703"/>
      <c r="F9" s="135">
        <f>SUMIF(70:70,E9,71:71)-SUMIF(70:70,C9,71:71)+100</f>
        <v>100</v>
      </c>
      <c r="G9" s="2703"/>
      <c r="H9" s="135">
        <f>SUMIF(70:70,G9,71:71)-SUMIF(70:70,C9,71:71)+100</f>
        <v>100</v>
      </c>
      <c r="I9" s="2703"/>
      <c r="J9" s="135">
        <f>SUMIF(70:70,I9,71:71)-SUMIF(70:70,C9,71:71)+100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351"/>
      <c r="Q10" s="1800" t="str">
        <f t="shared" si="6"/>
        <v>土地使用年限（年）</v>
      </c>
      <c r="R10" s="771" t="s">
        <v>17</v>
      </c>
      <c r="S10" s="772">
        <f t="shared" si="0"/>
        <v>117</v>
      </c>
      <c r="T10" s="771" t="s">
        <v>17</v>
      </c>
      <c r="U10" s="772">
        <f t="shared" si="1"/>
        <v>117</v>
      </c>
      <c r="V10" s="771" t="s">
        <v>17</v>
      </c>
      <c r="W10" s="772">
        <f t="shared" si="2"/>
        <v>117</v>
      </c>
      <c r="X10" s="773"/>
      <c r="Y10" s="3162"/>
      <c r="Z10" s="55" t="str">
        <f t="shared" si="7"/>
        <v>土地使用年限（年）</v>
      </c>
      <c r="AA10" s="774">
        <f t="shared" si="3"/>
        <v>0.85470085470085466</v>
      </c>
      <c r="AB10" s="774">
        <f t="shared" si="4"/>
        <v>0.85470085470085466</v>
      </c>
      <c r="AC10" s="774">
        <f t="shared" si="5"/>
        <v>0.85470085470085466</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57">
      <c r="A15" s="441" t="s">
        <v>2560</v>
      </c>
      <c r="B15" s="630" t="s">
        <v>2799</v>
      </c>
      <c r="C15" s="2697"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44" t="s">
        <v>2561</v>
      </c>
      <c r="Q15" s="1815" t="str">
        <f t="shared" si="6"/>
        <v>产业集聚程度</v>
      </c>
      <c r="R15" s="775" t="s">
        <v>17</v>
      </c>
      <c r="S15" s="776">
        <f t="shared" si="0"/>
        <v>100</v>
      </c>
      <c r="T15" s="775" t="s">
        <v>17</v>
      </c>
      <c r="U15" s="776">
        <f t="shared" si="1"/>
        <v>100</v>
      </c>
      <c r="V15" s="775" t="s">
        <v>17</v>
      </c>
      <c r="W15" s="776">
        <f t="shared" si="2"/>
        <v>100</v>
      </c>
      <c r="X15" s="1818"/>
      <c r="Y15" s="3344" t="s">
        <v>2561</v>
      </c>
      <c r="Z15" s="1819" t="str">
        <f t="shared" si="7"/>
        <v>产业集聚程度</v>
      </c>
      <c r="AA15" s="1816">
        <f t="shared" si="3"/>
        <v>1</v>
      </c>
      <c r="AB15" s="1816">
        <f t="shared" si="4"/>
        <v>1</v>
      </c>
      <c r="AC15" s="1816">
        <f t="shared" si="5"/>
        <v>1</v>
      </c>
    </row>
    <row r="16" spans="1:29" ht="15">
      <c r="A16" s="429"/>
      <c r="B16" s="631"/>
      <c r="C16" s="448"/>
      <c r="D16" s="449"/>
      <c r="E16" s="2615"/>
      <c r="F16" s="449"/>
      <c r="G16" s="2615"/>
      <c r="H16" s="451"/>
      <c r="I16" s="2615"/>
      <c r="J16" s="449"/>
      <c r="K16" s="673"/>
      <c r="L16" s="1144"/>
      <c r="M16" s="1135"/>
      <c r="N16" s="1135"/>
      <c r="O16" s="1143"/>
      <c r="P16" s="3345"/>
      <c r="Q16" s="1815"/>
      <c r="R16" s="775"/>
      <c r="S16" s="776"/>
      <c r="T16" s="775"/>
      <c r="U16" s="776"/>
      <c r="V16" s="775"/>
      <c r="W16" s="776"/>
      <c r="X16" s="1818"/>
      <c r="Y16" s="3345"/>
      <c r="Z16" s="1819"/>
      <c r="AA16" s="1816">
        <v>1</v>
      </c>
      <c r="AB16" s="1816">
        <v>1</v>
      </c>
      <c r="AC16" s="1816">
        <v>1</v>
      </c>
    </row>
    <row r="17" spans="1:29" ht="85.5">
      <c r="A17" s="429"/>
      <c r="B17" s="632" t="s">
        <v>2710</v>
      </c>
      <c r="C17" s="2611"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45"/>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633"/>
      <c r="C18" s="448"/>
      <c r="D18" s="449"/>
      <c r="E18" s="2609"/>
      <c r="F18" s="449"/>
      <c r="G18" s="2609"/>
      <c r="H18" s="449"/>
      <c r="I18" s="2608"/>
      <c r="J18" s="449"/>
      <c r="K18" s="673"/>
      <c r="L18" s="1144"/>
      <c r="M18" s="1135"/>
      <c r="N18" s="1135"/>
      <c r="O18" s="1143"/>
      <c r="P18" s="3345"/>
      <c r="Q18" s="1815"/>
      <c r="R18" s="775"/>
      <c r="S18" s="776"/>
      <c r="T18" s="775"/>
      <c r="U18" s="776"/>
      <c r="V18" s="775"/>
      <c r="W18" s="776"/>
      <c r="X18" s="1818"/>
      <c r="Y18" s="3345"/>
      <c r="Z18" s="1819"/>
      <c r="AA18" s="1816">
        <v>1</v>
      </c>
      <c r="AB18" s="1816">
        <v>1</v>
      </c>
      <c r="AC18" s="1816">
        <v>1</v>
      </c>
    </row>
    <row r="19" spans="1:29" ht="15">
      <c r="A19" s="429"/>
      <c r="B19" s="632" t="s">
        <v>2749</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45"/>
      <c r="Q19" s="1815" t="str">
        <f t="shared" ref="Q19:Q33" si="8">B19</f>
        <v>区域土地利用方向</v>
      </c>
      <c r="R19" s="775" t="s">
        <v>17</v>
      </c>
      <c r="S19" s="776">
        <f>F19</f>
        <v>100</v>
      </c>
      <c r="T19" s="775" t="s">
        <v>17</v>
      </c>
      <c r="U19" s="776">
        <f>H19</f>
        <v>100</v>
      </c>
      <c r="V19" s="775" t="s">
        <v>17</v>
      </c>
      <c r="W19" s="776">
        <f>J19</f>
        <v>100</v>
      </c>
      <c r="X19" s="1818"/>
      <c r="Y19" s="3345"/>
      <c r="Z19" s="1819" t="str">
        <f>Q19</f>
        <v>区域土地利用方向</v>
      </c>
      <c r="AA19" s="1816">
        <f t="shared" si="3"/>
        <v>1</v>
      </c>
      <c r="AB19" s="1816">
        <f t="shared" si="4"/>
        <v>1</v>
      </c>
      <c r="AC19" s="1816">
        <f t="shared" si="5"/>
        <v>1</v>
      </c>
    </row>
    <row r="20" spans="1:29" ht="15">
      <c r="A20" s="405"/>
      <c r="B20" s="633"/>
      <c r="C20" s="448"/>
      <c r="D20" s="449"/>
      <c r="E20" s="2609"/>
      <c r="F20" s="449"/>
      <c r="G20" s="2609"/>
      <c r="H20" s="449"/>
      <c r="I20" s="2609"/>
      <c r="J20" s="449"/>
      <c r="K20" s="813"/>
      <c r="L20" s="1144"/>
      <c r="M20" s="1135"/>
      <c r="N20" s="1135"/>
      <c r="O20" s="1143"/>
      <c r="P20" s="3345"/>
      <c r="Q20" s="1815"/>
      <c r="R20" s="775"/>
      <c r="S20" s="776"/>
      <c r="T20" s="775"/>
      <c r="U20" s="776"/>
      <c r="V20" s="775"/>
      <c r="W20" s="776"/>
      <c r="X20" s="1818"/>
      <c r="Y20" s="3345"/>
      <c r="Z20" s="1819"/>
      <c r="AA20" s="1816"/>
      <c r="AB20" s="1816"/>
      <c r="AC20" s="1816"/>
    </row>
    <row r="21" spans="1:29" ht="71.25">
      <c r="A21" s="405"/>
      <c r="B21" s="632" t="s">
        <v>2800</v>
      </c>
      <c r="C21" s="2611"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45"/>
      <c r="Q21" s="1815" t="str">
        <f t="shared" si="8"/>
        <v>环境状况</v>
      </c>
      <c r="R21" s="775" t="s">
        <v>17</v>
      </c>
      <c r="S21" s="776">
        <f>F21</f>
        <v>100</v>
      </c>
      <c r="T21" s="775" t="s">
        <v>17</v>
      </c>
      <c r="U21" s="776">
        <f>H21</f>
        <v>100</v>
      </c>
      <c r="V21" s="775" t="s">
        <v>17</v>
      </c>
      <c r="W21" s="776">
        <f>J21</f>
        <v>100</v>
      </c>
      <c r="X21" s="1818"/>
      <c r="Y21" s="3345"/>
      <c r="Z21" s="1819" t="str">
        <f>Q21</f>
        <v>环境状况</v>
      </c>
      <c r="AA21" s="1816">
        <f t="shared" si="3"/>
        <v>1</v>
      </c>
      <c r="AB21" s="1816">
        <f t="shared" si="4"/>
        <v>1</v>
      </c>
      <c r="AC21" s="1816">
        <f t="shared" si="5"/>
        <v>1</v>
      </c>
    </row>
    <row r="22" spans="1:29" ht="15">
      <c r="A22" s="405"/>
      <c r="B22" s="633"/>
      <c r="C22" s="448"/>
      <c r="D22" s="449"/>
      <c r="E22" s="2615"/>
      <c r="F22" s="449"/>
      <c r="G22" s="2615"/>
      <c r="H22" s="449"/>
      <c r="I22" s="448"/>
      <c r="J22" s="449"/>
      <c r="K22" s="673"/>
      <c r="L22" s="1144"/>
      <c r="M22" s="1135"/>
      <c r="N22" s="1135"/>
      <c r="O22" s="1143"/>
      <c r="P22" s="3345"/>
      <c r="Q22" s="1815"/>
      <c r="R22" s="775"/>
      <c r="S22" s="776"/>
      <c r="T22" s="775"/>
      <c r="U22" s="776"/>
      <c r="V22" s="775"/>
      <c r="W22" s="776"/>
      <c r="X22" s="1818"/>
      <c r="Y22" s="3345"/>
      <c r="Z22" s="1819"/>
      <c r="AA22" s="1816">
        <v>1</v>
      </c>
      <c r="AB22" s="1816">
        <v>1</v>
      </c>
      <c r="AC22" s="1816">
        <v>1</v>
      </c>
    </row>
    <row r="23" spans="1:29" s="117" customFormat="1" ht="42.75">
      <c r="A23" s="650"/>
      <c r="B23" s="634" t="s">
        <v>2655</v>
      </c>
      <c r="C23" s="2611"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45"/>
      <c r="Q23" s="1800" t="str">
        <f t="shared" si="8"/>
        <v>公共配套设施</v>
      </c>
      <c r="R23" s="771" t="s">
        <v>17</v>
      </c>
      <c r="S23" s="772">
        <f>F23</f>
        <v>100</v>
      </c>
      <c r="T23" s="771" t="s">
        <v>17</v>
      </c>
      <c r="U23" s="772">
        <f>H23</f>
        <v>100</v>
      </c>
      <c r="V23" s="771" t="s">
        <v>17</v>
      </c>
      <c r="W23" s="772">
        <f>J23</f>
        <v>100</v>
      </c>
      <c r="X23" s="773"/>
      <c r="Y23" s="3345"/>
      <c r="Z23" s="55" t="str">
        <f>Q23</f>
        <v>公共配套设施</v>
      </c>
      <c r="AA23" s="1816">
        <f>D23/F23</f>
        <v>1</v>
      </c>
      <c r="AB23" s="1816">
        <f>D23/H23</f>
        <v>1</v>
      </c>
      <c r="AC23" s="1816">
        <f>D23/J23</f>
        <v>1</v>
      </c>
    </row>
    <row r="24" spans="1:29" s="117" customFormat="1" ht="15">
      <c r="A24" s="650"/>
      <c r="B24" s="633"/>
      <c r="C24" s="2704"/>
      <c r="D24" s="449"/>
      <c r="E24" s="2615"/>
      <c r="F24" s="449"/>
      <c r="G24" s="2615"/>
      <c r="H24" s="449"/>
      <c r="I24" s="448"/>
      <c r="J24" s="449"/>
      <c r="K24" s="673"/>
      <c r="L24" s="1136"/>
      <c r="M24" s="1137"/>
      <c r="N24" s="1137"/>
      <c r="O24" s="1138"/>
      <c r="P24" s="3345"/>
      <c r="Q24" s="1800"/>
      <c r="R24" s="771"/>
      <c r="S24" s="772"/>
      <c r="T24" s="771"/>
      <c r="U24" s="772"/>
      <c r="V24" s="771"/>
      <c r="W24" s="772"/>
      <c r="X24" s="773"/>
      <c r="Y24" s="3345"/>
      <c r="Z24" s="55"/>
      <c r="AA24" s="774">
        <v>1</v>
      </c>
      <c r="AB24" s="774">
        <v>1</v>
      </c>
      <c r="AC24" s="774">
        <v>1</v>
      </c>
    </row>
    <row r="25" spans="1:29" s="117" customFormat="1" ht="28.5">
      <c r="A25" s="650"/>
      <c r="B25" s="634" t="s">
        <v>2656</v>
      </c>
      <c r="C25" s="2611"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45"/>
      <c r="Q25" s="1800" t="str">
        <f t="shared" ref="Q25" si="9">B25</f>
        <v>基础设施水平</v>
      </c>
      <c r="R25" s="771" t="s">
        <v>17</v>
      </c>
      <c r="S25" s="772">
        <f>F25</f>
        <v>100</v>
      </c>
      <c r="T25" s="771" t="s">
        <v>17</v>
      </c>
      <c r="U25" s="772">
        <f>H25</f>
        <v>100</v>
      </c>
      <c r="V25" s="771" t="s">
        <v>17</v>
      </c>
      <c r="W25" s="772">
        <f>J25</f>
        <v>100</v>
      </c>
      <c r="X25" s="773"/>
      <c r="Y25" s="3345"/>
      <c r="Z25" s="55" t="str">
        <f>Q25</f>
        <v>基础设施水平</v>
      </c>
      <c r="AA25" s="1816">
        <f>D25/F25</f>
        <v>1</v>
      </c>
      <c r="AB25" s="1816">
        <f>D25/H25</f>
        <v>1</v>
      </c>
      <c r="AC25" s="1816">
        <f>D25/J25</f>
        <v>1</v>
      </c>
    </row>
    <row r="26" spans="1:29" s="117" customFormat="1" ht="15">
      <c r="A26" s="650"/>
      <c r="B26" s="633"/>
      <c r="C26" s="2704"/>
      <c r="D26" s="449"/>
      <c r="E26" s="2705"/>
      <c r="F26" s="449"/>
      <c r="G26" s="2705"/>
      <c r="H26" s="449"/>
      <c r="I26" s="2705"/>
      <c r="J26" s="449"/>
      <c r="K26" s="673"/>
      <c r="L26" s="1136"/>
      <c r="M26" s="1137"/>
      <c r="N26" s="1137"/>
      <c r="O26" s="1138"/>
      <c r="P26" s="3345"/>
      <c r="Q26" s="1800"/>
      <c r="R26" s="771"/>
      <c r="S26" s="772"/>
      <c r="T26" s="771"/>
      <c r="U26" s="772"/>
      <c r="V26" s="771"/>
      <c r="W26" s="772"/>
      <c r="X26" s="773"/>
      <c r="Y26" s="3345"/>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45"/>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45"/>
      <c r="Z27" s="1819" t="str">
        <f t="shared" ref="Z27:Z40" si="13">Q27</f>
        <v>临街状况</v>
      </c>
      <c r="AA27" s="1816">
        <f t="shared" si="3"/>
        <v>1</v>
      </c>
      <c r="AB27" s="1816">
        <f t="shared" si="4"/>
        <v>1</v>
      </c>
      <c r="AC27" s="1816">
        <f t="shared" si="5"/>
        <v>1</v>
      </c>
    </row>
    <row r="28" spans="1:29" ht="27">
      <c r="A28" s="429"/>
      <c r="B28" s="634" t="s">
        <v>2692</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45"/>
      <c r="Q28" s="1815" t="str">
        <f t="shared" si="8"/>
        <v>毗邻道路的类型与等级</v>
      </c>
      <c r="R28" s="775" t="s">
        <v>17</v>
      </c>
      <c r="S28" s="776">
        <f t="shared" si="10"/>
        <v>100</v>
      </c>
      <c r="T28" s="775" t="s">
        <v>17</v>
      </c>
      <c r="U28" s="776">
        <f t="shared" si="11"/>
        <v>100</v>
      </c>
      <c r="V28" s="775" t="s">
        <v>17</v>
      </c>
      <c r="W28" s="776">
        <f t="shared" si="12"/>
        <v>100</v>
      </c>
      <c r="X28" s="1818"/>
      <c r="Y28" s="3345"/>
      <c r="Z28" s="1819" t="str">
        <f t="shared" si="13"/>
        <v>毗邻道路的类型与等级</v>
      </c>
      <c r="AA28" s="1816">
        <f t="shared" si="3"/>
        <v>1</v>
      </c>
      <c r="AB28" s="1816">
        <f t="shared" si="4"/>
        <v>1</v>
      </c>
      <c r="AC28" s="1816">
        <f t="shared" si="5"/>
        <v>1</v>
      </c>
    </row>
    <row r="29" spans="1:29" ht="15">
      <c r="A29" s="429"/>
      <c r="B29" s="633"/>
      <c r="C29" s="448"/>
      <c r="D29" s="449"/>
      <c r="E29" s="2615"/>
      <c r="F29" s="449"/>
      <c r="G29" s="2615"/>
      <c r="H29" s="449"/>
      <c r="I29" s="2615"/>
      <c r="J29" s="449"/>
      <c r="K29" s="614"/>
      <c r="L29" s="1144"/>
      <c r="M29" s="1135"/>
      <c r="N29" s="1135"/>
      <c r="O29" s="1143"/>
      <c r="P29" s="3345"/>
      <c r="Q29" s="1815"/>
      <c r="R29" s="775"/>
      <c r="S29" s="776"/>
      <c r="T29" s="775"/>
      <c r="U29" s="776"/>
      <c r="V29" s="775"/>
      <c r="W29" s="776"/>
      <c r="X29" s="1818"/>
      <c r="Y29" s="3345"/>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45"/>
      <c r="Q30" s="1815" t="str">
        <f t="shared" si="8"/>
        <v>土地级别</v>
      </c>
      <c r="R30" s="775" t="s">
        <v>17</v>
      </c>
      <c r="S30" s="776">
        <f t="shared" si="10"/>
        <v>100</v>
      </c>
      <c r="T30" s="775" t="s">
        <v>17</v>
      </c>
      <c r="U30" s="776">
        <f t="shared" si="11"/>
        <v>100</v>
      </c>
      <c r="V30" s="775" t="s">
        <v>17</v>
      </c>
      <c r="W30" s="776">
        <f t="shared" si="12"/>
        <v>100</v>
      </c>
      <c r="X30" s="1818"/>
      <c r="Y30" s="3345"/>
      <c r="Z30" s="1819" t="str">
        <f t="shared" si="13"/>
        <v>土地级别</v>
      </c>
      <c r="AA30" s="1816">
        <f t="shared" si="3"/>
        <v>1</v>
      </c>
      <c r="AB30" s="1816">
        <f t="shared" si="4"/>
        <v>1</v>
      </c>
      <c r="AC30" s="1816">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45"/>
      <c r="Q31" s="1815">
        <f t="shared" si="8"/>
        <v>111</v>
      </c>
      <c r="R31" s="775" t="s">
        <v>17</v>
      </c>
      <c r="S31" s="776">
        <f t="shared" si="10"/>
        <v>100</v>
      </c>
      <c r="T31" s="775" t="s">
        <v>17</v>
      </c>
      <c r="U31" s="776">
        <f t="shared" si="11"/>
        <v>100</v>
      </c>
      <c r="V31" s="775" t="s">
        <v>17</v>
      </c>
      <c r="W31" s="776">
        <f t="shared" si="12"/>
        <v>100</v>
      </c>
      <c r="X31" s="1818"/>
      <c r="Y31" s="3345"/>
      <c r="Z31" s="1819">
        <f t="shared" si="13"/>
        <v>111</v>
      </c>
      <c r="AA31" s="1816">
        <f t="shared" si="3"/>
        <v>1</v>
      </c>
      <c r="AB31" s="1816">
        <f t="shared" si="4"/>
        <v>1</v>
      </c>
      <c r="AC31" s="1816">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1" t="s">
        <v>2566</v>
      </c>
      <c r="Q32" s="1815">
        <f t="shared" si="8"/>
        <v>111</v>
      </c>
      <c r="R32" s="775" t="s">
        <v>17</v>
      </c>
      <c r="S32" s="776">
        <f t="shared" si="10"/>
        <v>100</v>
      </c>
      <c r="T32" s="775" t="s">
        <v>17</v>
      </c>
      <c r="U32" s="776">
        <f t="shared" si="11"/>
        <v>100</v>
      </c>
      <c r="V32" s="775" t="s">
        <v>17</v>
      </c>
      <c r="W32" s="776">
        <f t="shared" si="12"/>
        <v>100</v>
      </c>
      <c r="X32" s="1818"/>
      <c r="Y32" s="3349" t="s">
        <v>2566</v>
      </c>
      <c r="Z32" s="1819">
        <f t="shared" si="13"/>
        <v>111</v>
      </c>
      <c r="AA32" s="1816">
        <f t="shared" si="3"/>
        <v>1</v>
      </c>
      <c r="AB32" s="1816">
        <f t="shared" si="4"/>
        <v>1</v>
      </c>
      <c r="AC32" s="1816">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49"/>
      <c r="Q33" s="1815">
        <f t="shared" si="8"/>
        <v>111</v>
      </c>
      <c r="R33" s="778" t="s">
        <v>17</v>
      </c>
      <c r="S33" s="779">
        <f t="shared" si="10"/>
        <v>100</v>
      </c>
      <c r="T33" s="778" t="s">
        <v>17</v>
      </c>
      <c r="U33" s="779">
        <f t="shared" si="11"/>
        <v>100</v>
      </c>
      <c r="V33" s="778" t="s">
        <v>17</v>
      </c>
      <c r="W33" s="779">
        <f t="shared" si="12"/>
        <v>100</v>
      </c>
      <c r="X33" s="780"/>
      <c r="Y33" s="3349"/>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49"/>
      <c r="Q34" s="1815" t="str">
        <f>B34</f>
        <v>宗地面积</v>
      </c>
      <c r="R34" s="775" t="s">
        <v>17</v>
      </c>
      <c r="S34" s="776" t="e">
        <f t="shared" si="10"/>
        <v>#N/A</v>
      </c>
      <c r="T34" s="775" t="s">
        <v>17</v>
      </c>
      <c r="U34" s="776" t="e">
        <f t="shared" si="11"/>
        <v>#N/A</v>
      </c>
      <c r="V34" s="775" t="s">
        <v>17</v>
      </c>
      <c r="W34" s="776" t="e">
        <f t="shared" si="12"/>
        <v>#N/A</v>
      </c>
      <c r="X34" s="1818"/>
      <c r="Y34" s="3349"/>
      <c r="Z34" s="1819" t="str">
        <f t="shared" si="13"/>
        <v>宗地面积</v>
      </c>
      <c r="AA34" s="1816" t="e">
        <f t="shared" si="3"/>
        <v>#N/A</v>
      </c>
      <c r="AB34" s="1816" t="e">
        <f t="shared" si="4"/>
        <v>#N/A</v>
      </c>
      <c r="AC34" s="1816" t="e">
        <f t="shared" si="5"/>
        <v>#N/A</v>
      </c>
    </row>
    <row r="35" spans="1:29" ht="15">
      <c r="A35" s="473"/>
      <c r="B35" s="423" t="s">
        <v>2753</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4"/>
      <c r="M35" s="1135"/>
      <c r="N35" s="1135"/>
      <c r="O35" s="1143"/>
      <c r="P35" s="3349"/>
      <c r="Q35" s="1815" t="str">
        <f t="shared" ref="Q35:Q40" si="14">B35</f>
        <v>宗地形状</v>
      </c>
      <c r="R35" s="775" t="s">
        <v>17</v>
      </c>
      <c r="S35" s="776">
        <f t="shared" si="10"/>
        <v>100</v>
      </c>
      <c r="T35" s="775" t="s">
        <v>17</v>
      </c>
      <c r="U35" s="776">
        <f t="shared" si="11"/>
        <v>100</v>
      </c>
      <c r="V35" s="775" t="s">
        <v>17</v>
      </c>
      <c r="W35" s="776">
        <f t="shared" si="12"/>
        <v>100</v>
      </c>
      <c r="X35" s="1818"/>
      <c r="Y35" s="3349"/>
      <c r="Z35" s="1819" t="str">
        <f t="shared" si="13"/>
        <v>宗地形状</v>
      </c>
      <c r="AA35" s="1816">
        <f t="shared" si="3"/>
        <v>1</v>
      </c>
      <c r="AB35" s="1816">
        <f t="shared" si="4"/>
        <v>1</v>
      </c>
      <c r="AC35" s="1816">
        <f t="shared" si="5"/>
        <v>1</v>
      </c>
    </row>
    <row r="36" spans="1:29" s="117" customFormat="1" ht="15">
      <c r="A36" s="474"/>
      <c r="B36" s="423" t="s">
        <v>2755</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6"/>
      <c r="M36" s="1137"/>
      <c r="N36" s="1137"/>
      <c r="O36" s="1138"/>
      <c r="P36" s="3349"/>
      <c r="Q36" s="1815" t="str">
        <f t="shared" si="14"/>
        <v>宗地开发程度</v>
      </c>
      <c r="R36" s="771" t="s">
        <v>17</v>
      </c>
      <c r="S36" s="772">
        <f t="shared" si="10"/>
        <v>100</v>
      </c>
      <c r="T36" s="771" t="s">
        <v>17</v>
      </c>
      <c r="U36" s="772">
        <f t="shared" si="11"/>
        <v>100</v>
      </c>
      <c r="V36" s="771" t="s">
        <v>17</v>
      </c>
      <c r="W36" s="772">
        <f t="shared" si="12"/>
        <v>100</v>
      </c>
      <c r="X36" s="773"/>
      <c r="Y36" s="3349"/>
      <c r="Z36" s="55" t="str">
        <f t="shared" si="13"/>
        <v>宗地开发程度</v>
      </c>
      <c r="AA36" s="774">
        <f t="shared" si="3"/>
        <v>1</v>
      </c>
      <c r="AB36" s="774">
        <f t="shared" si="4"/>
        <v>1</v>
      </c>
      <c r="AC36" s="774">
        <f t="shared" si="5"/>
        <v>1</v>
      </c>
    </row>
    <row r="37" spans="1:29" ht="15">
      <c r="A37" s="473"/>
      <c r="B37" s="423" t="s">
        <v>2756</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4"/>
      <c r="M37" s="1135"/>
      <c r="N37" s="1135"/>
      <c r="O37" s="1143"/>
      <c r="P37" s="3349" t="s">
        <v>2566</v>
      </c>
      <c r="Q37" s="1815" t="str">
        <f t="shared" si="14"/>
        <v>工程地质条件</v>
      </c>
      <c r="R37" s="775" t="s">
        <v>17</v>
      </c>
      <c r="S37" s="776">
        <f t="shared" si="10"/>
        <v>100</v>
      </c>
      <c r="T37" s="775" t="s">
        <v>17</v>
      </c>
      <c r="U37" s="776">
        <f t="shared" si="11"/>
        <v>100</v>
      </c>
      <c r="V37" s="775" t="s">
        <v>17</v>
      </c>
      <c r="W37" s="776">
        <f t="shared" si="12"/>
        <v>100</v>
      </c>
      <c r="X37" s="1818"/>
      <c r="Y37" s="3349"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49"/>
      <c r="Q38" s="1815">
        <f t="shared" si="14"/>
        <v>111</v>
      </c>
      <c r="R38" s="775" t="s">
        <v>17</v>
      </c>
      <c r="S38" s="776">
        <f t="shared" si="10"/>
        <v>100</v>
      </c>
      <c r="T38" s="775" t="s">
        <v>17</v>
      </c>
      <c r="U38" s="776">
        <f t="shared" si="11"/>
        <v>100</v>
      </c>
      <c r="V38" s="775" t="s">
        <v>17</v>
      </c>
      <c r="W38" s="776">
        <f t="shared" si="12"/>
        <v>100</v>
      </c>
      <c r="X38" s="1818"/>
      <c r="Y38" s="3349"/>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49"/>
      <c r="Q39" s="1815">
        <f t="shared" si="14"/>
        <v>111</v>
      </c>
      <c r="R39" s="775" t="s">
        <v>17</v>
      </c>
      <c r="S39" s="776">
        <f t="shared" si="10"/>
        <v>100</v>
      </c>
      <c r="T39" s="775" t="s">
        <v>17</v>
      </c>
      <c r="U39" s="776">
        <f t="shared" si="11"/>
        <v>100</v>
      </c>
      <c r="V39" s="775" t="s">
        <v>17</v>
      </c>
      <c r="W39" s="776">
        <f t="shared" si="12"/>
        <v>100</v>
      </c>
      <c r="X39" s="1818"/>
      <c r="Y39" s="3349"/>
      <c r="Z39" s="1819">
        <f t="shared" si="13"/>
        <v>111</v>
      </c>
      <c r="AA39" s="1816">
        <f t="shared" si="3"/>
        <v>1</v>
      </c>
      <c r="AB39" s="1816">
        <f t="shared" si="4"/>
        <v>1</v>
      </c>
      <c r="AC39" s="1816">
        <f t="shared" si="5"/>
        <v>1</v>
      </c>
    </row>
    <row r="40" spans="1:29" s="472" customFormat="1" ht="15.75" thickBot="1">
      <c r="A40" s="469"/>
      <c r="B40" s="1391">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49"/>
      <c r="Q40" s="1815">
        <f t="shared" si="14"/>
        <v>111</v>
      </c>
      <c r="R40" s="778" t="s">
        <v>17</v>
      </c>
      <c r="S40" s="779">
        <f t="shared" si="10"/>
        <v>100</v>
      </c>
      <c r="T40" s="778" t="s">
        <v>17</v>
      </c>
      <c r="U40" s="779">
        <f t="shared" si="11"/>
        <v>100</v>
      </c>
      <c r="V40" s="778" t="s">
        <v>17</v>
      </c>
      <c r="W40" s="779">
        <f t="shared" si="12"/>
        <v>100</v>
      </c>
      <c r="X40" s="780"/>
      <c r="Y40" s="3349"/>
      <c r="Z40" s="781">
        <f t="shared" si="13"/>
        <v>111</v>
      </c>
      <c r="AA40" s="1816">
        <f t="shared" si="3"/>
        <v>1</v>
      </c>
      <c r="AB40" s="1816">
        <f t="shared" si="4"/>
        <v>1</v>
      </c>
      <c r="AC40" s="1816">
        <f t="shared" si="5"/>
        <v>1</v>
      </c>
    </row>
    <row r="41" spans="1:29" ht="15">
      <c r="A41" s="480" t="s">
        <v>2721</v>
      </c>
      <c r="B41" s="2708" t="s">
        <v>2801</v>
      </c>
      <c r="C41" s="683" t="s">
        <v>1</v>
      </c>
      <c r="D41" s="482"/>
      <c r="E41" s="483"/>
      <c r="F41" s="484"/>
      <c r="G41" s="485"/>
      <c r="H41" s="486"/>
      <c r="I41" s="483"/>
      <c r="J41" s="486"/>
      <c r="K41" s="784"/>
      <c r="L41" s="1147"/>
      <c r="M41" s="1135"/>
      <c r="N41" s="1135"/>
      <c r="O41" s="1148"/>
      <c r="P41" s="3351" t="str">
        <f>A41</f>
        <v>成交单价</v>
      </c>
      <c r="Q41" s="3351"/>
      <c r="R41" s="3339">
        <f>E41</f>
        <v>0</v>
      </c>
      <c r="S41" s="3339"/>
      <c r="T41" s="3339">
        <f>G41</f>
        <v>0</v>
      </c>
      <c r="U41" s="3339"/>
      <c r="V41" s="3339">
        <f>I41</f>
        <v>0</v>
      </c>
      <c r="W41" s="3339"/>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351" t="str">
        <f>A42</f>
        <v>比较价值（元/平方米）</v>
      </c>
      <c r="Q42" s="3351"/>
      <c r="R42" s="3402" t="e">
        <f>ROUND(PRODUCT(R41,AA7:AA40),0)</f>
        <v>#DIV/0!</v>
      </c>
      <c r="S42" s="3402"/>
      <c r="T42" s="3402" t="e">
        <f>ROUND(PRODUCT(T41,AB7:AB40),0)</f>
        <v>#DIV/0!</v>
      </c>
      <c r="U42" s="3402"/>
      <c r="V42" s="3402" t="e">
        <f>ROUND(PRODUCT(V41,AC7:AC40),0)</f>
        <v>#DIV/0!</v>
      </c>
      <c r="W42" s="3402"/>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376" t="str">
        <f>A43</f>
        <v>估价对象XX用房的比较价值（楼面单价，元/平方米）</v>
      </c>
      <c r="Q43" s="3377"/>
      <c r="R43" s="3403" t="e">
        <f>ROUND(AVERAGE(R42:V42),0)</f>
        <v>#DIV/0!</v>
      </c>
      <c r="S43" s="3403"/>
      <c r="T43" s="3403"/>
      <c r="U43" s="3403"/>
      <c r="V43" s="3403"/>
      <c r="W43" s="3403"/>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09" t="s">
        <v>2761</v>
      </c>
      <c r="D50" s="2710" t="s">
        <v>2762</v>
      </c>
      <c r="E50" s="687" t="s">
        <v>2763</v>
      </c>
      <c r="F50" s="688" t="s">
        <v>2764</v>
      </c>
      <c r="G50" s="3326" t="s">
        <v>2765</v>
      </c>
      <c r="H50" s="3404"/>
      <c r="I50" s="1819" t="s">
        <v>2802</v>
      </c>
      <c r="J50" s="1819">
        <f>项目基本情况!F35</f>
        <v>0</v>
      </c>
      <c r="K50" s="2712" t="s">
        <v>2767</v>
      </c>
      <c r="L50" s="1110"/>
      <c r="M50" s="1148"/>
      <c r="N50" s="1148"/>
      <c r="O50" s="1148"/>
    </row>
    <row r="51" spans="1:17" s="693" customFormat="1">
      <c r="A51" s="689" t="s">
        <v>2768</v>
      </c>
      <c r="B51" s="690" t="e">
        <f>C43</f>
        <v>#DIV/0!</v>
      </c>
      <c r="C51" s="691">
        <v>1</v>
      </c>
      <c r="D51" s="1167">
        <v>1</v>
      </c>
      <c r="E51" s="691">
        <f>'数据-汇总表'!E8+'数据-汇总表'!E9</f>
        <v>16057.43</v>
      </c>
      <c r="F51" s="692" t="e">
        <f t="shared" ref="F51:F60" si="15">ROUND(B51*E51/10000,0)</f>
        <v>#DIV/0!</v>
      </c>
      <c r="G51" s="3322"/>
      <c r="H51" s="3351"/>
      <c r="I51" s="946">
        <v>1</v>
      </c>
      <c r="J51" s="946">
        <v>1</v>
      </c>
      <c r="K51" s="1149"/>
      <c r="L51" s="945"/>
      <c r="M51" s="945"/>
      <c r="N51" s="945"/>
      <c r="O51" s="945"/>
    </row>
    <row r="52" spans="1:17" s="693" customFormat="1">
      <c r="A52" s="694" t="s">
        <v>2769</v>
      </c>
      <c r="B52" s="263" t="e">
        <f>ROUND($C$43*C52*D52,0)</f>
        <v>#DIV/0!</v>
      </c>
      <c r="C52" s="201">
        <f t="shared" ref="C52:C60" si="16">IF($C$50="北京市系数",I52,J52)</f>
        <v>0.7</v>
      </c>
      <c r="D52" s="1168">
        <v>0.25</v>
      </c>
      <c r="E52" s="695"/>
      <c r="F52" s="692" t="e">
        <f t="shared" si="15"/>
        <v>#DIV/0!</v>
      </c>
      <c r="G52" s="3405" t="s">
        <v>2770</v>
      </c>
      <c r="H52" s="1108" t="str">
        <f>项目基本情况!B37</f>
        <v>三级</v>
      </c>
      <c r="I52" s="946">
        <f>SUMIF(修正!A45:A56,H52,修正!B45:B56)</f>
        <v>0.7</v>
      </c>
      <c r="J52" s="947"/>
      <c r="K52" s="1148"/>
      <c r="L52" s="945"/>
      <c r="M52" s="945"/>
      <c r="N52" s="945"/>
      <c r="O52" s="945"/>
    </row>
    <row r="53" spans="1:17" s="693" customFormat="1">
      <c r="A53" s="694" t="s">
        <v>2771</v>
      </c>
      <c r="B53" s="263" t="e">
        <f t="shared" ref="B53:B60" si="17">ROUND($C$43*C53*D53,0)</f>
        <v>#DIV/0!</v>
      </c>
      <c r="C53" s="201">
        <f t="shared" si="16"/>
        <v>0.4</v>
      </c>
      <c r="D53" s="1168">
        <v>0.25</v>
      </c>
      <c r="E53" s="695"/>
      <c r="F53" s="692" t="e">
        <f t="shared" si="15"/>
        <v>#DIV/0!</v>
      </c>
      <c r="G53" s="3405"/>
      <c r="H53" s="1108" t="str">
        <f>项目基本情况!B37</f>
        <v>三级</v>
      </c>
      <c r="I53" s="946">
        <f>SUMIF(修正!A45:A56,H53,修正!C45:C56)</f>
        <v>0.4</v>
      </c>
      <c r="J53" s="947"/>
      <c r="K53" s="1149"/>
      <c r="L53" s="945"/>
      <c r="M53" s="945"/>
      <c r="N53" s="945"/>
      <c r="O53" s="945"/>
    </row>
    <row r="54" spans="1:17" s="693" customFormat="1">
      <c r="A54" s="694" t="s">
        <v>2772</v>
      </c>
      <c r="B54" s="263" t="e">
        <f t="shared" si="17"/>
        <v>#DIV/0!</v>
      </c>
      <c r="C54" s="201">
        <f t="shared" si="16"/>
        <v>0.28000000000000003</v>
      </c>
      <c r="D54" s="1168">
        <v>0.25</v>
      </c>
      <c r="E54" s="695"/>
      <c r="F54" s="692" t="e">
        <f t="shared" si="15"/>
        <v>#DIV/0!</v>
      </c>
      <c r="G54" s="3405"/>
      <c r="H54" s="1108" t="str">
        <f>项目基本情况!B37</f>
        <v>三级</v>
      </c>
      <c r="I54" s="946">
        <f>SUMIF(修正!A45:A56,H54,修正!D45:D56)</f>
        <v>0.28000000000000003</v>
      </c>
      <c r="J54" s="947"/>
      <c r="K54" s="1148"/>
      <c r="L54" s="945"/>
      <c r="M54" s="945"/>
      <c r="N54" s="945"/>
      <c r="O54" s="945"/>
    </row>
    <row r="55" spans="1:17" s="693" customFormat="1">
      <c r="A55" s="694" t="s">
        <v>2773</v>
      </c>
      <c r="B55" s="263" t="e">
        <f t="shared" si="17"/>
        <v>#DIV/0!</v>
      </c>
      <c r="C55" s="201">
        <f t="shared" si="16"/>
        <v>0.25</v>
      </c>
      <c r="D55" s="1168">
        <v>0.25</v>
      </c>
      <c r="E55" s="695"/>
      <c r="F55" s="692" t="e">
        <f t="shared" si="15"/>
        <v>#DIV/0!</v>
      </c>
      <c r="G55" s="3405"/>
      <c r="H55" s="1108" t="str">
        <f>项目基本情况!B37</f>
        <v>三级</v>
      </c>
      <c r="I55" s="946">
        <f>SUMIF(修正!A45:A56,H55,修正!E45:E56)</f>
        <v>0.25</v>
      </c>
      <c r="J55" s="947"/>
      <c r="K55" s="1149"/>
      <c r="L55" s="945"/>
      <c r="M55" s="945"/>
      <c r="N55" s="945"/>
      <c r="O55" s="945"/>
    </row>
    <row r="56" spans="1:17" s="693" customFormat="1">
      <c r="A56" s="694" t="s">
        <v>2774</v>
      </c>
      <c r="B56" s="263" t="e">
        <f t="shared" si="17"/>
        <v>#DIV/0!</v>
      </c>
      <c r="C56" s="201">
        <f t="shared" si="16"/>
        <v>0.25</v>
      </c>
      <c r="D56" s="1168">
        <v>0.25</v>
      </c>
      <c r="E56" s="262">
        <f>'数据-汇总表'!E11</f>
        <v>0</v>
      </c>
      <c r="F56" s="692" t="e">
        <f t="shared" si="15"/>
        <v>#DIV/0!</v>
      </c>
      <c r="G56" s="2713" t="s">
        <v>2775</v>
      </c>
      <c r="H56" s="1108" t="str">
        <f>项目基本情况!C37</f>
        <v>三级</v>
      </c>
      <c r="I56" s="946">
        <f>SUMIF(修正!A45:A56,H56,修正!F45:F56)</f>
        <v>0.25</v>
      </c>
      <c r="J56" s="947"/>
      <c r="K56" s="1148"/>
      <c r="L56" s="945"/>
      <c r="M56" s="945"/>
      <c r="N56" s="945"/>
      <c r="O56" s="945"/>
    </row>
    <row r="57" spans="1:17" s="693" customFormat="1">
      <c r="A57" s="694" t="s">
        <v>2776</v>
      </c>
      <c r="B57" s="263" t="e">
        <f t="shared" si="17"/>
        <v>#DIV/0!</v>
      </c>
      <c r="C57" s="201">
        <f t="shared" si="16"/>
        <v>0.25</v>
      </c>
      <c r="D57" s="1168">
        <v>0.25</v>
      </c>
      <c r="E57" s="262">
        <f>'数据-汇总表'!E12</f>
        <v>0</v>
      </c>
      <c r="F57" s="692" t="e">
        <f t="shared" si="15"/>
        <v>#DIV/0!</v>
      </c>
      <c r="G57" s="1113" t="s">
        <v>2777</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0.2</v>
      </c>
      <c r="D59" s="1168">
        <v>0.25</v>
      </c>
      <c r="E59" s="262">
        <f>'数据-汇总表'!E14</f>
        <v>6958.0599999999995</v>
      </c>
      <c r="F59" s="692" t="e">
        <f t="shared" si="15"/>
        <v>#DIV/0!</v>
      </c>
      <c r="G59" s="2713" t="s">
        <v>2770</v>
      </c>
      <c r="H59" s="1108" t="str">
        <f>项目基本情况!B37</f>
        <v>三级</v>
      </c>
      <c r="I59" s="946">
        <f>SUMIF(修正!A45:A56,H59,修正!H45:H56)</f>
        <v>0.2</v>
      </c>
      <c r="J59" s="947"/>
      <c r="K59" s="1149"/>
      <c r="L59" s="945"/>
      <c r="M59" s="945"/>
      <c r="N59" s="945"/>
      <c r="O59" s="945"/>
    </row>
    <row r="60" spans="1:17" s="693" customFormat="1" ht="15" thickBot="1">
      <c r="A60" s="694" t="s">
        <v>2781</v>
      </c>
      <c r="B60" s="263" t="e">
        <f t="shared" si="17"/>
        <v>#DIV/0!</v>
      </c>
      <c r="C60" s="201">
        <f t="shared" si="16"/>
        <v>0.2</v>
      </c>
      <c r="D60" s="1168">
        <v>0.25</v>
      </c>
      <c r="E60" s="262">
        <f>'数据-汇总表'!E15</f>
        <v>0</v>
      </c>
      <c r="F60" s="692" t="e">
        <f t="shared" si="15"/>
        <v>#DIV/0!</v>
      </c>
      <c r="G60" s="2714" t="s">
        <v>2775</v>
      </c>
      <c r="H60" s="1118" t="str">
        <f>项目基本情况!C37</f>
        <v>三级</v>
      </c>
      <c r="I60" s="946">
        <f>SUMIF(修正!A45:A56,H60,修正!H45:H56)</f>
        <v>0.2</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6064.26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5" t="s">
        <v>2783</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20" t="s">
        <v>2803</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0" t="s">
        <v>183</v>
      </c>
      <c r="B18" s="883" t="s">
        <v>560</v>
      </c>
      <c r="C18" s="884" t="s">
        <v>561</v>
      </c>
      <c r="D18" s="885"/>
      <c r="E18" s="883">
        <v>1</v>
      </c>
      <c r="F18" s="886" t="s">
        <v>562</v>
      </c>
      <c r="G18" s="887"/>
      <c r="H18" s="879"/>
      <c r="I18" s="879"/>
    </row>
    <row r="19" spans="1:9" s="888" customFormat="1" ht="19.5" customHeight="1">
      <c r="A19" s="3410"/>
      <c r="B19" s="3410" t="s">
        <v>563</v>
      </c>
      <c r="C19" s="884" t="s">
        <v>564</v>
      </c>
      <c r="D19" s="885"/>
      <c r="E19" s="883">
        <v>0.9</v>
      </c>
      <c r="F19" s="886" t="s">
        <v>565</v>
      </c>
      <c r="G19" s="887"/>
      <c r="H19" s="879"/>
      <c r="I19" s="879"/>
    </row>
    <row r="20" spans="1:9" s="888" customFormat="1" ht="19.5" customHeight="1">
      <c r="A20" s="3410"/>
      <c r="B20" s="3410"/>
      <c r="C20" s="884" t="s">
        <v>566</v>
      </c>
      <c r="D20" s="885"/>
      <c r="E20" s="883">
        <v>1.1000000000000001</v>
      </c>
      <c r="F20" s="886" t="s">
        <v>567</v>
      </c>
      <c r="G20" s="887"/>
      <c r="H20" s="879"/>
      <c r="I20" s="879"/>
    </row>
    <row r="21" spans="1:9" s="888" customFormat="1" ht="19.5" customHeight="1">
      <c r="A21" s="3410"/>
      <c r="B21" s="3410"/>
      <c r="C21" s="884" t="s">
        <v>568</v>
      </c>
      <c r="D21" s="885"/>
      <c r="E21" s="883">
        <v>0.8</v>
      </c>
      <c r="F21" s="886" t="s">
        <v>569</v>
      </c>
      <c r="G21" s="887"/>
      <c r="H21" s="879"/>
      <c r="I21" s="879"/>
    </row>
    <row r="22" spans="1:9" s="888" customFormat="1" ht="19.5" customHeight="1">
      <c r="A22" s="3410"/>
      <c r="B22" s="3410"/>
      <c r="C22" s="884" t="s">
        <v>570</v>
      </c>
      <c r="D22" s="885"/>
      <c r="E22" s="883">
        <v>0.5</v>
      </c>
      <c r="F22" s="886"/>
      <c r="G22" s="887"/>
      <c r="H22" s="879"/>
      <c r="I22" s="879"/>
    </row>
    <row r="23" spans="1:9" s="888" customFormat="1" ht="19.5" customHeight="1">
      <c r="A23" s="3410" t="s">
        <v>184</v>
      </c>
      <c r="B23" s="883" t="s">
        <v>560</v>
      </c>
      <c r="C23" s="884" t="s">
        <v>571</v>
      </c>
      <c r="D23" s="885"/>
      <c r="E23" s="883">
        <v>1</v>
      </c>
      <c r="F23" s="886" t="s">
        <v>572</v>
      </c>
      <c r="G23" s="887"/>
      <c r="H23" s="879"/>
      <c r="I23" s="879"/>
    </row>
    <row r="24" spans="1:9" s="888" customFormat="1" ht="19.5" customHeight="1">
      <c r="A24" s="3410"/>
      <c r="B24" s="3410" t="s">
        <v>563</v>
      </c>
      <c r="C24" s="884" t="s">
        <v>573</v>
      </c>
      <c r="D24" s="885"/>
      <c r="E24" s="883">
        <v>0.5</v>
      </c>
      <c r="F24" s="886"/>
      <c r="G24" s="887"/>
      <c r="H24" s="879"/>
      <c r="I24" s="879"/>
    </row>
    <row r="25" spans="1:9" s="888" customFormat="1" ht="19.5" customHeight="1">
      <c r="A25" s="3410"/>
      <c r="B25" s="3410"/>
      <c r="C25" s="884" t="s">
        <v>574</v>
      </c>
      <c r="D25" s="885"/>
      <c r="E25" s="883">
        <v>1.1000000000000001</v>
      </c>
      <c r="F25" s="886"/>
      <c r="G25" s="887"/>
      <c r="H25" s="879"/>
      <c r="I25" s="879"/>
    </row>
    <row r="26" spans="1:9" s="888" customFormat="1" ht="19.5" customHeight="1">
      <c r="A26" s="3410"/>
      <c r="B26" s="3410"/>
      <c r="C26" s="884" t="s">
        <v>575</v>
      </c>
      <c r="D26" s="885"/>
      <c r="E26" s="883">
        <v>1.1000000000000001</v>
      </c>
      <c r="F26" s="886"/>
      <c r="G26" s="887"/>
      <c r="H26" s="879"/>
      <c r="I26" s="879"/>
    </row>
    <row r="27" spans="1:9" s="888" customFormat="1" ht="19.5" customHeight="1">
      <c r="A27" s="3410"/>
      <c r="B27" s="3410"/>
      <c r="C27" s="884" t="s">
        <v>576</v>
      </c>
      <c r="D27" s="885"/>
      <c r="E27" s="883">
        <v>0.9</v>
      </c>
      <c r="F27" s="886" t="s">
        <v>577</v>
      </c>
      <c r="G27" s="887"/>
      <c r="H27" s="879"/>
      <c r="I27" s="879"/>
    </row>
    <row r="28" spans="1:9" s="888" customFormat="1" ht="19.5" customHeight="1">
      <c r="A28" s="3410"/>
      <c r="B28" s="3410"/>
      <c r="C28" s="884" t="s">
        <v>578</v>
      </c>
      <c r="D28" s="885"/>
      <c r="E28" s="883">
        <v>0.9</v>
      </c>
      <c r="F28" s="886" t="s">
        <v>579</v>
      </c>
      <c r="G28" s="887"/>
      <c r="H28" s="879"/>
      <c r="I28" s="879"/>
    </row>
    <row r="29" spans="1:9" s="888" customFormat="1" ht="19.5" customHeight="1">
      <c r="A29" s="3410"/>
      <c r="B29" s="3410"/>
      <c r="C29" s="884" t="s">
        <v>580</v>
      </c>
      <c r="D29" s="885"/>
      <c r="E29" s="883">
        <v>0.9</v>
      </c>
      <c r="F29" s="886" t="s">
        <v>581</v>
      </c>
      <c r="G29" s="887"/>
      <c r="H29" s="879"/>
      <c r="I29" s="879"/>
    </row>
    <row r="30" spans="1:9" s="888" customFormat="1" ht="19.5" customHeight="1">
      <c r="A30" s="3410"/>
      <c r="B30" s="3410"/>
      <c r="C30" s="884" t="s">
        <v>582</v>
      </c>
      <c r="D30" s="885"/>
      <c r="E30" s="883">
        <v>0.9</v>
      </c>
      <c r="F30" s="886" t="s">
        <v>583</v>
      </c>
      <c r="G30" s="887"/>
      <c r="H30" s="879"/>
      <c r="I30" s="879"/>
    </row>
    <row r="31" spans="1:9" s="888" customFormat="1" ht="19.5" customHeight="1">
      <c r="A31" s="3410"/>
      <c r="B31" s="3410"/>
      <c r="C31" s="884" t="s">
        <v>584</v>
      </c>
      <c r="D31" s="885"/>
      <c r="E31" s="883">
        <v>0.8</v>
      </c>
      <c r="F31" s="886" t="s">
        <v>585</v>
      </c>
      <c r="G31" s="887"/>
      <c r="H31" s="879"/>
      <c r="I31" s="879"/>
    </row>
    <row r="32" spans="1:9" s="888" customFormat="1" ht="19.5" customHeight="1">
      <c r="A32" s="3410"/>
      <c r="B32" s="3410"/>
      <c r="C32" s="884" t="s">
        <v>586</v>
      </c>
      <c r="D32" s="885"/>
      <c r="E32" s="883">
        <v>0.8</v>
      </c>
      <c r="F32" s="886" t="s">
        <v>587</v>
      </c>
      <c r="G32" s="887"/>
      <c r="H32" s="879"/>
      <c r="I32" s="879"/>
    </row>
    <row r="33" spans="1:9" s="888" customFormat="1" ht="19.5" customHeight="1">
      <c r="A33" s="3410" t="s">
        <v>185</v>
      </c>
      <c r="B33" s="883" t="s">
        <v>560</v>
      </c>
      <c r="C33" s="884" t="s">
        <v>588</v>
      </c>
      <c r="D33" s="885"/>
      <c r="E33" s="883">
        <v>1</v>
      </c>
      <c r="F33" s="886" t="s">
        <v>589</v>
      </c>
      <c r="G33" s="887"/>
      <c r="H33" s="879"/>
      <c r="I33" s="879"/>
    </row>
    <row r="34" spans="1:9" s="888" customFormat="1" ht="19.5" customHeight="1">
      <c r="A34" s="3410"/>
      <c r="B34" s="883" t="s">
        <v>563</v>
      </c>
      <c r="C34" s="884" t="s">
        <v>590</v>
      </c>
      <c r="D34" s="885"/>
      <c r="E34" s="883">
        <v>1.5</v>
      </c>
      <c r="F34" s="886" t="s">
        <v>591</v>
      </c>
      <c r="G34" s="887"/>
      <c r="H34" s="879"/>
      <c r="I34" s="879"/>
    </row>
    <row r="35" spans="1:9" s="888" customFormat="1" ht="19.5" customHeight="1">
      <c r="A35" s="3410" t="s">
        <v>186</v>
      </c>
      <c r="B35" s="883" t="s">
        <v>560</v>
      </c>
      <c r="C35" s="884" t="s">
        <v>592</v>
      </c>
      <c r="D35" s="885"/>
      <c r="E35" s="883">
        <v>1</v>
      </c>
      <c r="F35" s="886" t="s">
        <v>593</v>
      </c>
      <c r="G35" s="887"/>
      <c r="H35" s="879"/>
      <c r="I35" s="879"/>
    </row>
    <row r="36" spans="1:9" s="888" customFormat="1" ht="19.5" customHeight="1">
      <c r="A36" s="3410"/>
      <c r="B36" s="3410" t="s">
        <v>563</v>
      </c>
      <c r="C36" s="884" t="s">
        <v>594</v>
      </c>
      <c r="D36" s="885"/>
      <c r="E36" s="883">
        <v>1</v>
      </c>
      <c r="F36" s="886" t="s">
        <v>595</v>
      </c>
      <c r="G36" s="887"/>
      <c r="H36" s="879"/>
      <c r="I36" s="879"/>
    </row>
    <row r="37" spans="1:9" s="888" customFormat="1" ht="19.5" customHeight="1">
      <c r="A37" s="3410"/>
      <c r="B37" s="3410"/>
      <c r="C37" s="884" t="s">
        <v>596</v>
      </c>
      <c r="D37" s="885"/>
      <c r="E37" s="883">
        <v>1.5</v>
      </c>
      <c r="F37" s="886" t="s">
        <v>597</v>
      </c>
      <c r="G37" s="887"/>
      <c r="H37" s="879"/>
      <c r="I37" s="879"/>
    </row>
    <row r="38" spans="1:9" s="888" customFormat="1" ht="19.5" customHeight="1">
      <c r="A38" s="3410"/>
      <c r="B38" s="3410"/>
      <c r="C38" s="884" t="s">
        <v>598</v>
      </c>
      <c r="D38" s="885"/>
      <c r="E38" s="883">
        <v>1</v>
      </c>
      <c r="F38" s="886" t="s">
        <v>599</v>
      </c>
      <c r="G38" s="887"/>
      <c r="H38" s="879"/>
      <c r="I38" s="879"/>
    </row>
    <row r="39" spans="1:9" s="888" customFormat="1" ht="19.5" customHeight="1">
      <c r="A39" s="3410"/>
      <c r="B39" s="3410"/>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0" t="s">
        <v>614</v>
      </c>
      <c r="C61" s="819" t="s">
        <v>615</v>
      </c>
      <c r="D61" s="819" t="s">
        <v>616</v>
      </c>
      <c r="E61" s="896">
        <v>0.5</v>
      </c>
      <c r="F61" s="883">
        <v>80</v>
      </c>
    </row>
    <row r="62" spans="1:8" s="879" customFormat="1" ht="24">
      <c r="A62" s="883">
        <v>2</v>
      </c>
      <c r="B62" s="3410"/>
      <c r="C62" s="819" t="s">
        <v>617</v>
      </c>
      <c r="D62" s="819" t="s">
        <v>618</v>
      </c>
      <c r="E62" s="896">
        <v>0.5</v>
      </c>
      <c r="F62" s="883">
        <v>80</v>
      </c>
    </row>
    <row r="63" spans="1:8" s="879" customFormat="1" ht="36">
      <c r="A63" s="883">
        <v>3</v>
      </c>
      <c r="B63" s="3410"/>
      <c r="C63" s="819" t="s">
        <v>619</v>
      </c>
      <c r="D63" s="819" t="s">
        <v>620</v>
      </c>
      <c r="E63" s="896">
        <v>0.5</v>
      </c>
      <c r="F63" s="883">
        <v>80</v>
      </c>
    </row>
    <row r="64" spans="1:8" s="879" customFormat="1" ht="36">
      <c r="A64" s="883">
        <v>4</v>
      </c>
      <c r="B64" s="3410"/>
      <c r="C64" s="819" t="s">
        <v>621</v>
      </c>
      <c r="D64" s="819" t="s">
        <v>622</v>
      </c>
      <c r="E64" s="896">
        <v>0.4</v>
      </c>
      <c r="F64" s="883">
        <v>60</v>
      </c>
    </row>
    <row r="65" spans="1:6" s="879" customFormat="1" ht="36">
      <c r="A65" s="883">
        <v>5</v>
      </c>
      <c r="B65" s="3410"/>
      <c r="C65" s="819" t="s">
        <v>623</v>
      </c>
      <c r="D65" s="819" t="s">
        <v>624</v>
      </c>
      <c r="E65" s="896">
        <v>0.2</v>
      </c>
      <c r="F65" s="883">
        <v>30</v>
      </c>
    </row>
    <row r="66" spans="1:6" s="879" customFormat="1" ht="36">
      <c r="A66" s="883">
        <v>6</v>
      </c>
      <c r="B66" s="3410"/>
      <c r="C66" s="819" t="s">
        <v>625</v>
      </c>
      <c r="D66" s="819" t="s">
        <v>626</v>
      </c>
      <c r="E66" s="896">
        <v>0.3</v>
      </c>
      <c r="F66" s="883">
        <v>50</v>
      </c>
    </row>
    <row r="67" spans="1:6" s="879" customFormat="1" ht="36">
      <c r="A67" s="883">
        <v>7</v>
      </c>
      <c r="B67" s="3410"/>
      <c r="C67" s="819" t="s">
        <v>627</v>
      </c>
      <c r="D67" s="819" t="s">
        <v>628</v>
      </c>
      <c r="E67" s="896">
        <v>0.2</v>
      </c>
      <c r="F67" s="883">
        <v>30</v>
      </c>
    </row>
    <row r="68" spans="1:6" s="879" customFormat="1" ht="36">
      <c r="A68" s="883">
        <v>8</v>
      </c>
      <c r="B68" s="3410"/>
      <c r="C68" s="819" t="s">
        <v>629</v>
      </c>
      <c r="D68" s="819" t="s">
        <v>630</v>
      </c>
      <c r="E68" s="896">
        <v>0.2</v>
      </c>
      <c r="F68" s="883">
        <v>30</v>
      </c>
    </row>
    <row r="69" spans="1:6" s="879" customFormat="1" ht="36">
      <c r="A69" s="883">
        <v>9</v>
      </c>
      <c r="B69" s="3410"/>
      <c r="C69" s="819" t="s">
        <v>631</v>
      </c>
      <c r="D69" s="819" t="s">
        <v>632</v>
      </c>
      <c r="E69" s="896">
        <v>0.2</v>
      </c>
      <c r="F69" s="883">
        <v>30</v>
      </c>
    </row>
    <row r="70" spans="1:6" s="879" customFormat="1" ht="48">
      <c r="A70" s="883">
        <v>10</v>
      </c>
      <c r="B70" s="3410"/>
      <c r="C70" s="819" t="s">
        <v>633</v>
      </c>
      <c r="D70" s="819" t="s">
        <v>634</v>
      </c>
      <c r="E70" s="896">
        <v>0.2</v>
      </c>
      <c r="F70" s="883">
        <v>30</v>
      </c>
    </row>
    <row r="71" spans="1:6" s="879" customFormat="1" ht="48">
      <c r="A71" s="883">
        <v>11</v>
      </c>
      <c r="B71" s="3410"/>
      <c r="C71" s="819" t="s">
        <v>635</v>
      </c>
      <c r="D71" s="819" t="s">
        <v>636</v>
      </c>
      <c r="E71" s="896">
        <v>0.2</v>
      </c>
      <c r="F71" s="883">
        <v>30</v>
      </c>
    </row>
    <row r="72" spans="1:6" s="879" customFormat="1" ht="36">
      <c r="A72" s="883">
        <v>12</v>
      </c>
      <c r="B72" s="3410"/>
      <c r="C72" s="819" t="s">
        <v>637</v>
      </c>
      <c r="D72" s="819" t="s">
        <v>638</v>
      </c>
      <c r="E72" s="896">
        <v>0.5</v>
      </c>
      <c r="F72" s="883">
        <v>80</v>
      </c>
    </row>
    <row r="73" spans="1:6" s="879" customFormat="1" ht="24">
      <c r="A73" s="883">
        <v>13</v>
      </c>
      <c r="B73" s="3410"/>
      <c r="C73" s="819" t="s">
        <v>639</v>
      </c>
      <c r="D73" s="819" t="s">
        <v>640</v>
      </c>
      <c r="E73" s="896">
        <v>0.4</v>
      </c>
      <c r="F73" s="883">
        <v>60</v>
      </c>
    </row>
    <row r="74" spans="1:6" s="879" customFormat="1" ht="24">
      <c r="A74" s="883">
        <v>14</v>
      </c>
      <c r="B74" s="3410"/>
      <c r="C74" s="819" t="s">
        <v>641</v>
      </c>
      <c r="D74" s="819" t="s">
        <v>642</v>
      </c>
      <c r="E74" s="896">
        <v>0.2</v>
      </c>
      <c r="F74" s="883">
        <v>30</v>
      </c>
    </row>
    <row r="75" spans="1:6" s="879" customFormat="1" ht="24">
      <c r="A75" s="883">
        <v>15</v>
      </c>
      <c r="B75" s="3410"/>
      <c r="C75" s="819" t="s">
        <v>643</v>
      </c>
      <c r="D75" s="819" t="s">
        <v>644</v>
      </c>
      <c r="E75" s="896">
        <v>0.2</v>
      </c>
      <c r="F75" s="883">
        <v>30</v>
      </c>
    </row>
    <row r="76" spans="1:6" s="879" customFormat="1" ht="24">
      <c r="A76" s="883">
        <v>16</v>
      </c>
      <c r="B76" s="3410" t="s">
        <v>645</v>
      </c>
      <c r="C76" s="819" t="s">
        <v>646</v>
      </c>
      <c r="D76" s="819" t="s">
        <v>647</v>
      </c>
      <c r="E76" s="896">
        <v>0.5</v>
      </c>
      <c r="F76" s="883">
        <v>80</v>
      </c>
    </row>
    <row r="77" spans="1:6" s="879" customFormat="1" ht="24">
      <c r="A77" s="883">
        <v>17</v>
      </c>
      <c r="B77" s="3410"/>
      <c r="C77" s="819" t="s">
        <v>648</v>
      </c>
      <c r="D77" s="819" t="s">
        <v>649</v>
      </c>
      <c r="E77" s="896">
        <v>0.5</v>
      </c>
      <c r="F77" s="883">
        <v>80</v>
      </c>
    </row>
    <row r="78" spans="1:6" s="879" customFormat="1" ht="24">
      <c r="A78" s="883">
        <v>18</v>
      </c>
      <c r="B78" s="3410"/>
      <c r="C78" s="819" t="s">
        <v>650</v>
      </c>
      <c r="D78" s="819" t="s">
        <v>651</v>
      </c>
      <c r="E78" s="896">
        <v>0.2</v>
      </c>
      <c r="F78" s="883">
        <v>30</v>
      </c>
    </row>
    <row r="79" spans="1:6" s="879" customFormat="1" ht="24">
      <c r="A79" s="883">
        <v>19</v>
      </c>
      <c r="B79" s="3410"/>
      <c r="C79" s="819" t="s">
        <v>652</v>
      </c>
      <c r="D79" s="819" t="s">
        <v>653</v>
      </c>
      <c r="E79" s="896">
        <v>0.5</v>
      </c>
      <c r="F79" s="883">
        <v>80</v>
      </c>
    </row>
    <row r="80" spans="1:6" s="879" customFormat="1" ht="36">
      <c r="A80" s="883">
        <v>20</v>
      </c>
      <c r="B80" s="3410"/>
      <c r="C80" s="819" t="s">
        <v>654</v>
      </c>
      <c r="D80" s="819" t="s">
        <v>655</v>
      </c>
      <c r="E80" s="896">
        <v>0.2</v>
      </c>
      <c r="F80" s="883">
        <v>30</v>
      </c>
    </row>
    <row r="81" spans="1:6" s="879" customFormat="1" ht="36">
      <c r="A81" s="883">
        <v>21</v>
      </c>
      <c r="B81" s="3410"/>
      <c r="C81" s="819" t="s">
        <v>656</v>
      </c>
      <c r="D81" s="819" t="s">
        <v>657</v>
      </c>
      <c r="E81" s="896">
        <v>0.2</v>
      </c>
      <c r="F81" s="883">
        <v>30</v>
      </c>
    </row>
    <row r="82" spans="1:6" s="879" customFormat="1" ht="48">
      <c r="A82" s="883">
        <v>22</v>
      </c>
      <c r="B82" s="3410"/>
      <c r="C82" s="819" t="s">
        <v>658</v>
      </c>
      <c r="D82" s="819" t="s">
        <v>659</v>
      </c>
      <c r="E82" s="896">
        <v>0.2</v>
      </c>
      <c r="F82" s="883">
        <v>30</v>
      </c>
    </row>
    <row r="83" spans="1:6" s="879" customFormat="1" ht="48">
      <c r="A83" s="883">
        <v>23</v>
      </c>
      <c r="B83" s="3410"/>
      <c r="C83" s="819" t="s">
        <v>660</v>
      </c>
      <c r="D83" s="819" t="s">
        <v>661</v>
      </c>
      <c r="E83" s="896">
        <v>0.2</v>
      </c>
      <c r="F83" s="883">
        <v>30</v>
      </c>
    </row>
    <row r="84" spans="1:6" s="879" customFormat="1" ht="36">
      <c r="A84" s="883">
        <v>24</v>
      </c>
      <c r="B84" s="3410"/>
      <c r="C84" s="819" t="s">
        <v>662</v>
      </c>
      <c r="D84" s="819" t="s">
        <v>663</v>
      </c>
      <c r="E84" s="896">
        <v>0.2</v>
      </c>
      <c r="F84" s="883">
        <v>30</v>
      </c>
    </row>
    <row r="85" spans="1:6" s="879" customFormat="1" ht="36">
      <c r="A85" s="883">
        <v>25</v>
      </c>
      <c r="B85" s="3410"/>
      <c r="C85" s="819" t="s">
        <v>664</v>
      </c>
      <c r="D85" s="819" t="s">
        <v>665</v>
      </c>
      <c r="E85" s="896">
        <v>0.5</v>
      </c>
      <c r="F85" s="883">
        <v>80</v>
      </c>
    </row>
    <row r="86" spans="1:6" s="879" customFormat="1" ht="36">
      <c r="A86" s="883">
        <v>26</v>
      </c>
      <c r="B86" s="3410"/>
      <c r="C86" s="819" t="s">
        <v>666</v>
      </c>
      <c r="D86" s="819" t="s">
        <v>667</v>
      </c>
      <c r="E86" s="896">
        <v>0.2</v>
      </c>
      <c r="F86" s="883">
        <v>30</v>
      </c>
    </row>
    <row r="87" spans="1:6" s="879" customFormat="1" ht="36">
      <c r="A87" s="883">
        <v>27</v>
      </c>
      <c r="B87" s="3410"/>
      <c r="C87" s="819" t="s">
        <v>668</v>
      </c>
      <c r="D87" s="819" t="s">
        <v>669</v>
      </c>
      <c r="E87" s="896">
        <v>0.2</v>
      </c>
      <c r="F87" s="883">
        <v>30</v>
      </c>
    </row>
    <row r="88" spans="1:6" s="879" customFormat="1" ht="36">
      <c r="A88" s="883">
        <v>28</v>
      </c>
      <c r="B88" s="3410"/>
      <c r="C88" s="819" t="s">
        <v>670</v>
      </c>
      <c r="D88" s="819" t="s">
        <v>671</v>
      </c>
      <c r="E88" s="896">
        <v>0.2</v>
      </c>
      <c r="F88" s="883">
        <v>30</v>
      </c>
    </row>
    <row r="89" spans="1:6" s="879" customFormat="1" ht="24">
      <c r="A89" s="883">
        <v>29</v>
      </c>
      <c r="B89" s="3410"/>
      <c r="C89" s="819" t="s">
        <v>672</v>
      </c>
      <c r="D89" s="819" t="s">
        <v>673</v>
      </c>
      <c r="E89" s="896">
        <v>0.2</v>
      </c>
      <c r="F89" s="883">
        <v>30</v>
      </c>
    </row>
    <row r="90" spans="1:6" s="879" customFormat="1" ht="24">
      <c r="A90" s="883">
        <v>30</v>
      </c>
      <c r="B90" s="3410"/>
      <c r="C90" s="819" t="s">
        <v>674</v>
      </c>
      <c r="D90" s="819" t="s">
        <v>675</v>
      </c>
      <c r="E90" s="896">
        <v>0.2</v>
      </c>
      <c r="F90" s="883">
        <v>30</v>
      </c>
    </row>
    <row r="91" spans="1:6" s="879" customFormat="1" ht="36">
      <c r="A91" s="883">
        <v>31</v>
      </c>
      <c r="B91" s="3410"/>
      <c r="C91" s="819" t="s">
        <v>676</v>
      </c>
      <c r="D91" s="819" t="s">
        <v>677</v>
      </c>
      <c r="E91" s="896">
        <v>0.2</v>
      </c>
      <c r="F91" s="883">
        <v>30</v>
      </c>
    </row>
    <row r="92" spans="1:6" s="879" customFormat="1" ht="24">
      <c r="A92" s="883">
        <v>32</v>
      </c>
      <c r="B92" s="3410" t="s">
        <v>678</v>
      </c>
      <c r="C92" s="883" t="s">
        <v>679</v>
      </c>
      <c r="D92" s="819" t="s">
        <v>680</v>
      </c>
      <c r="E92" s="896">
        <v>0.2</v>
      </c>
      <c r="F92" s="883">
        <v>30</v>
      </c>
    </row>
    <row r="93" spans="1:6" s="879" customFormat="1" ht="36">
      <c r="A93" s="883">
        <v>33</v>
      </c>
      <c r="B93" s="3410"/>
      <c r="C93" s="883" t="s">
        <v>681</v>
      </c>
      <c r="D93" s="819" t="s">
        <v>682</v>
      </c>
      <c r="E93" s="896">
        <v>0.2</v>
      </c>
      <c r="F93" s="883">
        <v>30</v>
      </c>
    </row>
    <row r="94" spans="1:6" s="879" customFormat="1" ht="48">
      <c r="A94" s="883">
        <v>34</v>
      </c>
      <c r="B94" s="3410"/>
      <c r="C94" s="883" t="s">
        <v>683</v>
      </c>
      <c r="D94" s="819" t="s">
        <v>684</v>
      </c>
      <c r="E94" s="896">
        <v>0.2</v>
      </c>
      <c r="F94" s="883">
        <v>30</v>
      </c>
    </row>
    <row r="95" spans="1:6" s="879" customFormat="1" ht="36">
      <c r="A95" s="883">
        <v>35</v>
      </c>
      <c r="B95" s="3410"/>
      <c r="C95" s="883" t="s">
        <v>685</v>
      </c>
      <c r="D95" s="819" t="s">
        <v>686</v>
      </c>
      <c r="E95" s="896">
        <v>0.2</v>
      </c>
      <c r="F95" s="883">
        <v>30</v>
      </c>
    </row>
    <row r="96" spans="1:6" s="879" customFormat="1" ht="48">
      <c r="A96" s="883">
        <v>36</v>
      </c>
      <c r="B96" s="3410"/>
      <c r="C96" s="819" t="s">
        <v>687</v>
      </c>
      <c r="D96" s="819" t="s">
        <v>688</v>
      </c>
      <c r="E96" s="896">
        <v>0.2</v>
      </c>
      <c r="F96" s="883">
        <v>30</v>
      </c>
    </row>
    <row r="97" spans="1:6" s="879" customFormat="1" ht="36">
      <c r="A97" s="883">
        <v>37</v>
      </c>
      <c r="B97" s="3410"/>
      <c r="C97" s="883" t="s">
        <v>689</v>
      </c>
      <c r="D97" s="819" t="s">
        <v>690</v>
      </c>
      <c r="E97" s="896">
        <v>0.2</v>
      </c>
      <c r="F97" s="883">
        <v>30</v>
      </c>
    </row>
    <row r="98" spans="1:6" s="879" customFormat="1" ht="36">
      <c r="A98" s="883">
        <v>38</v>
      </c>
      <c r="B98" s="3410"/>
      <c r="C98" s="883" t="s">
        <v>691</v>
      </c>
      <c r="D98" s="819" t="s">
        <v>692</v>
      </c>
      <c r="E98" s="896">
        <v>0.2</v>
      </c>
      <c r="F98" s="883">
        <v>30</v>
      </c>
    </row>
    <row r="99" spans="1:6" s="879" customFormat="1" ht="36">
      <c r="A99" s="883">
        <v>39</v>
      </c>
      <c r="B99" s="3410" t="s">
        <v>693</v>
      </c>
      <c r="C99" s="883" t="s">
        <v>694</v>
      </c>
      <c r="D99" s="819" t="s">
        <v>695</v>
      </c>
      <c r="E99" s="896">
        <v>0.3</v>
      </c>
      <c r="F99" s="883">
        <v>50</v>
      </c>
    </row>
    <row r="100" spans="1:6" s="879" customFormat="1" ht="24">
      <c r="A100" s="883">
        <v>40</v>
      </c>
      <c r="B100" s="3410"/>
      <c r="C100" s="883" t="s">
        <v>696</v>
      </c>
      <c r="D100" s="819" t="s">
        <v>697</v>
      </c>
      <c r="E100" s="896">
        <v>0.2</v>
      </c>
      <c r="F100" s="883">
        <v>30</v>
      </c>
    </row>
    <row r="101" spans="1:6" s="879" customFormat="1" ht="36">
      <c r="A101" s="883">
        <v>41</v>
      </c>
      <c r="B101" s="3410"/>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0" t="s">
        <v>708</v>
      </c>
      <c r="C105" s="883" t="s">
        <v>709</v>
      </c>
      <c r="D105" s="819" t="s">
        <v>710</v>
      </c>
      <c r="E105" s="896">
        <v>0.2</v>
      </c>
      <c r="F105" s="883">
        <v>30</v>
      </c>
    </row>
    <row r="106" spans="1:6" s="879" customFormat="1" ht="36">
      <c r="A106" s="883">
        <v>46</v>
      </c>
      <c r="B106" s="3410"/>
      <c r="C106" s="883" t="s">
        <v>711</v>
      </c>
      <c r="D106" s="819" t="s">
        <v>712</v>
      </c>
      <c r="E106" s="896">
        <v>0.2</v>
      </c>
      <c r="F106" s="883">
        <v>30</v>
      </c>
    </row>
    <row r="107" spans="1:6" s="879" customFormat="1" ht="36">
      <c r="A107" s="883">
        <v>47</v>
      </c>
      <c r="B107" s="3410" t="s">
        <v>713</v>
      </c>
      <c r="C107" s="883" t="s">
        <v>714</v>
      </c>
      <c r="D107" s="819" t="s">
        <v>715</v>
      </c>
      <c r="E107" s="896">
        <v>0.3</v>
      </c>
      <c r="F107" s="883">
        <v>50</v>
      </c>
    </row>
    <row r="108" spans="1:6" s="879" customFormat="1" ht="36">
      <c r="A108" s="883">
        <v>48</v>
      </c>
      <c r="B108" s="3410"/>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0" t="s">
        <v>724</v>
      </c>
      <c r="C111" s="883" t="s">
        <v>725</v>
      </c>
      <c r="D111" s="819" t="s">
        <v>726</v>
      </c>
      <c r="E111" s="896">
        <v>0.2</v>
      </c>
      <c r="F111" s="883">
        <v>30</v>
      </c>
    </row>
    <row r="112" spans="1:6" s="879" customFormat="1" ht="24">
      <c r="A112" s="883">
        <v>52</v>
      </c>
      <c r="B112" s="3410"/>
      <c r="C112" s="883" t="s">
        <v>727</v>
      </c>
      <c r="D112" s="819" t="s">
        <v>728</v>
      </c>
      <c r="E112" s="896">
        <v>0.2</v>
      </c>
      <c r="F112" s="883">
        <v>30</v>
      </c>
    </row>
    <row r="113" spans="1:6" s="879" customFormat="1" ht="24">
      <c r="A113" s="883">
        <v>53</v>
      </c>
      <c r="B113" s="3410"/>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0" t="s">
        <v>737</v>
      </c>
      <c r="C116" s="883" t="s">
        <v>738</v>
      </c>
      <c r="D116" s="819" t="s">
        <v>739</v>
      </c>
      <c r="E116" s="896">
        <v>0.2</v>
      </c>
      <c r="F116" s="883">
        <v>30</v>
      </c>
    </row>
    <row r="117" spans="1:6" ht="36">
      <c r="A117" s="883">
        <v>57</v>
      </c>
      <c r="B117" s="3410"/>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0.97540000000000004</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1643</v>
      </c>
      <c r="B2" s="3108" t="s">
        <v>1644</v>
      </c>
      <c r="C2" s="3108" t="s">
        <v>1645</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9"/>
      <c r="B3" s="3109"/>
      <c r="C3" s="3109"/>
      <c r="D3" s="1048" t="s">
        <v>1640</v>
      </c>
      <c r="E3" s="1048" t="s">
        <v>1646</v>
      </c>
      <c r="F3" s="1048" t="s">
        <v>1640</v>
      </c>
      <c r="G3" s="1048" t="s">
        <v>1641</v>
      </c>
      <c r="H3" s="1048" t="s">
        <v>1640</v>
      </c>
      <c r="I3" s="1048" t="s">
        <v>1641</v>
      </c>
    </row>
    <row r="4" spans="1:9" ht="30">
      <c r="A4" s="1978" t="str">
        <f>项目基本情况!S2</f>
        <v>北京市出让国有建设用地使用权及在建建筑物房地产</v>
      </c>
      <c r="B4" s="1048">
        <f>项目基本情况!C17</f>
        <v>41231.079999999994</v>
      </c>
      <c r="C4" s="1048">
        <f>项目基本情况!C18</f>
        <v>6064.26</v>
      </c>
      <c r="D4" s="1048">
        <f ca="1">结果表!D118</f>
        <v>119835</v>
      </c>
      <c r="E4" s="1048">
        <f ca="1">结果表!E118</f>
        <v>29064</v>
      </c>
      <c r="F4" s="1048">
        <f ca="1">结果表!F118</f>
        <v>21313</v>
      </c>
      <c r="G4" s="1048">
        <f ca="1">结果表!G118</f>
        <v>5169</v>
      </c>
      <c r="H4" s="1048">
        <f ca="1">结果表!H118</f>
        <v>141148</v>
      </c>
      <c r="I4" s="1048">
        <f ca="1">结果表!I118</f>
        <v>34233</v>
      </c>
    </row>
    <row r="5" spans="1:9" ht="30" customHeight="1">
      <c r="A5" s="3109" t="s">
        <v>1642</v>
      </c>
      <c r="B5" s="3109"/>
      <c r="C5" s="3109"/>
      <c r="D5" s="3110" t="str">
        <f ca="1">结果表!D119</f>
        <v>壹拾壹亿玖仟捌佰叁拾伍万元整</v>
      </c>
      <c r="E5" s="3110"/>
      <c r="F5" s="3110" t="str">
        <f ca="1">结果表!F119</f>
        <v>贰亿壹仟叁佰壹拾叁万元整</v>
      </c>
      <c r="G5" s="3110"/>
      <c r="H5" s="3110" t="str">
        <f ca="1">结果表!H119</f>
        <v>壹拾肆亿壹仟壹佰肆拾捌万元整</v>
      </c>
      <c r="I5" s="3110"/>
    </row>
    <row r="6" spans="1:9" ht="15.75">
      <c r="A6" s="3111" t="str">
        <f>结果表!A120</f>
        <v>估价师知悉的法定优先受偿款</v>
      </c>
      <c r="B6" s="3111"/>
      <c r="C6" s="3111"/>
      <c r="D6" s="3111">
        <f>结果表!D120</f>
        <v>0</v>
      </c>
      <c r="E6" s="3111"/>
      <c r="F6" s="3111"/>
      <c r="G6" s="3111"/>
      <c r="H6" s="3111"/>
      <c r="I6" s="3111"/>
    </row>
    <row r="7" spans="1:9" ht="15">
      <c r="A7" s="3109" t="s">
        <v>1642</v>
      </c>
      <c r="B7" s="3109"/>
      <c r="C7" s="3109"/>
      <c r="D7" s="3112" t="str">
        <f>结果表!D121</f>
        <v>零元整</v>
      </c>
      <c r="E7" s="3113"/>
      <c r="F7" s="3113"/>
      <c r="G7" s="3113"/>
      <c r="H7" s="3113"/>
      <c r="I7" s="3114"/>
    </row>
    <row r="8" spans="1:9" ht="15.75">
      <c r="A8" s="3111" t="str">
        <f>结果表!A122</f>
        <v>房地产抵押价值</v>
      </c>
      <c r="B8" s="3111"/>
      <c r="C8" s="3111"/>
      <c r="D8" s="3111">
        <f ca="1">结果表!D122</f>
        <v>141148</v>
      </c>
      <c r="E8" s="3111"/>
      <c r="F8" s="3111"/>
      <c r="G8" s="3111"/>
      <c r="H8" s="3111"/>
      <c r="I8" s="3111"/>
    </row>
    <row r="9" spans="1:9" ht="15">
      <c r="A9" s="3109" t="s">
        <v>1642</v>
      </c>
      <c r="B9" s="3109"/>
      <c r="C9" s="3109"/>
      <c r="D9" s="3110" t="str">
        <f ca="1">结果表!D123</f>
        <v>壹拾肆亿壹仟壹佰肆拾捌万元整</v>
      </c>
      <c r="E9" s="3110"/>
      <c r="F9" s="3110"/>
      <c r="G9" s="3110"/>
      <c r="H9" s="3110"/>
      <c r="I9" s="3110"/>
    </row>
    <row r="10" spans="1:9" ht="15.75">
      <c r="A10" s="3111" t="str">
        <f>结果表!A124</f>
        <v/>
      </c>
      <c r="B10" s="3111"/>
      <c r="C10" s="3111"/>
      <c r="D10" s="3111" t="str">
        <f>结果表!D124</f>
        <v>——</v>
      </c>
      <c r="E10" s="3111"/>
      <c r="F10" s="3111"/>
      <c r="G10" s="3111"/>
      <c r="H10" s="3111"/>
      <c r="I10" s="3111"/>
    </row>
    <row r="11" spans="1:9" ht="15">
      <c r="A11" s="3109" t="s">
        <v>1642</v>
      </c>
      <c r="B11" s="3109"/>
      <c r="C11" s="3109"/>
      <c r="D11" s="3110" t="e">
        <f>结果表!D125</f>
        <v>#VALUE!</v>
      </c>
      <c r="E11" s="3110"/>
      <c r="F11" s="3110"/>
      <c r="G11" s="3110"/>
      <c r="H11" s="3110"/>
      <c r="I11" s="3110"/>
    </row>
    <row r="12" spans="1:9" ht="15.75">
      <c r="A12" s="3111" t="str">
        <f>结果表!A126</f>
        <v/>
      </c>
      <c r="B12" s="3111"/>
      <c r="C12" s="3111"/>
      <c r="D12" s="3111" t="str">
        <f>结果表!D126</f>
        <v>——</v>
      </c>
      <c r="E12" s="3111"/>
      <c r="F12" s="3111"/>
      <c r="G12" s="3111"/>
      <c r="H12" s="3111"/>
      <c r="I12" s="3111"/>
    </row>
    <row r="13" spans="1:9" ht="15.75" thickBot="1">
      <c r="A13" s="3115" t="s">
        <v>1642</v>
      </c>
      <c r="B13" s="3115"/>
      <c r="C13" s="3115"/>
      <c r="D13" s="3116" t="e">
        <f>结果表!D127</f>
        <v>#VALUE!</v>
      </c>
      <c r="E13" s="3116"/>
      <c r="F13" s="3116"/>
      <c r="G13" s="3116"/>
      <c r="H13" s="3116"/>
      <c r="I13" s="3116"/>
    </row>
    <row r="14" spans="1:9" ht="15" thickTop="1">
      <c r="A14" s="3117" t="s">
        <v>1647</v>
      </c>
      <c r="B14" s="3117"/>
      <c r="C14" s="3117"/>
      <c r="D14" s="3117"/>
      <c r="E14" s="3117"/>
      <c r="F14" s="3117"/>
      <c r="G14" s="3117"/>
      <c r="H14" s="3117"/>
      <c r="I14" s="3117"/>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537">
        <v>75</v>
      </c>
      <c r="E18" s="537">
        <v>65</v>
      </c>
      <c r="F18" s="537">
        <v>55</v>
      </c>
      <c r="G18" s="537">
        <v>55</v>
      </c>
      <c r="H18" s="537">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#N/A</v>
      </c>
      <c r="C20" s="169"/>
      <c r="D20" s="2923" t="s">
        <v>3020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7</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4519.57</v>
      </c>
      <c r="C22" s="3197" t="s">
        <v>33</v>
      </c>
      <c r="D22" s="3198"/>
      <c r="E22" s="3198"/>
      <c r="F22" s="3198"/>
      <c r="G22" s="3198"/>
      <c r="H22" s="3198"/>
      <c r="I22" s="3198"/>
      <c r="J22" s="3198"/>
      <c r="K22" s="3198"/>
      <c r="L22" s="3198"/>
      <c r="M22" s="3198"/>
      <c r="N22" s="3198"/>
      <c r="O22" s="3198"/>
      <c r="P22" s="3198"/>
      <c r="Q22" s="3358"/>
      <c r="R22" s="717">
        <f>ROUND(S22*10000/B22,0)</f>
        <v>7</v>
      </c>
      <c r="S22" s="24">
        <f>SUM(S24:S10000)</f>
        <v>3</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'比较法-商业租金'!C49</f>
        <v>10.8</v>
      </c>
      <c r="S24" s="720">
        <f t="shared" ref="S24:S87" si="5">ROUND(R24*B24/10000,0)</f>
        <v>1</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0" t="s">
        <v>3563</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3561</v>
      </c>
      <c r="Q25" s="24">
        <f>(SUMIF($17:$17,P25,$18:$18)-SUMIF($17:$17,$P$24,$18:$18)+100)/100</f>
        <v>0.65</v>
      </c>
      <c r="R25" s="717">
        <f>IF(B25="",0,ROUND($R$24*C25*E25*G25*I25*K25*M25*O25*Q25,0))</f>
        <v>7</v>
      </c>
      <c r="S25" s="362">
        <f t="shared" si="5"/>
        <v>1</v>
      </c>
    </row>
    <row r="26" spans="1:45">
      <c r="A26" s="160" t="s">
        <v>3564</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3561</v>
      </c>
      <c r="Q26" s="24">
        <f t="shared" ref="Q26:Q89" si="13">(SUMIF($17:$17,P26,$18:$18)-SUMIF($17:$17,$P$24,$18:$18)+100)/100</f>
        <v>0.65</v>
      </c>
      <c r="R26" s="717">
        <f t="shared" ref="R26:R89" si="14">IF(B26="",0,ROUND($R$24*C26*E26*G26*I26*K26*M26*O26*Q26,0))</f>
        <v>7</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48</v>
      </c>
      <c r="D1" s="1825" t="s">
        <v>3613</v>
      </c>
      <c r="E1" s="1826" t="s">
        <v>1388</v>
      </c>
      <c r="F1" s="1287">
        <f ca="1">J53</f>
        <v>35.78</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11955</v>
      </c>
      <c r="C2" s="1850" t="s">
        <v>1518</v>
      </c>
      <c r="D2" s="1850"/>
      <c r="E2" s="1851"/>
      <c r="F2" s="1852"/>
      <c r="G2" s="1853"/>
      <c r="H2" s="1845"/>
      <c r="I2" s="1845"/>
      <c r="J2" s="1845"/>
      <c r="K2" s="1846"/>
      <c r="L2" s="1845"/>
      <c r="M2" s="1845"/>
    </row>
    <row r="3" spans="1:37" ht="18" customHeight="1" thickBot="1">
      <c r="A3" s="1854" t="s">
        <v>1519</v>
      </c>
      <c r="B3" s="1855">
        <f ca="1">IF(ISERROR(B2*10000/F43),0,ROUND(B2*10000/F43,0))</f>
        <v>17182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549</v>
      </c>
      <c r="D5" s="1827" t="s">
        <v>1403</v>
      </c>
      <c r="E5" s="1297"/>
      <c r="F5" s="1298"/>
      <c r="G5" s="1856"/>
      <c r="H5" s="345">
        <v>1</v>
      </c>
      <c r="I5" s="346" t="s">
        <v>1402</v>
      </c>
      <c r="J5" s="1296">
        <f ca="1">J6+J10+J12</f>
        <v>0</v>
      </c>
      <c r="K5" s="1827" t="s">
        <v>1403</v>
      </c>
      <c r="L5" s="1297"/>
      <c r="M5" s="1298"/>
    </row>
    <row r="6" spans="1:37" ht="18" customHeight="1">
      <c r="A6" s="1295" t="s">
        <v>1035</v>
      </c>
      <c r="B6" s="3364" t="s">
        <v>1404</v>
      </c>
      <c r="C6" s="1300">
        <f ca="1">ROUND(F6*F8*F7*(1-F9)/10000,0)</f>
        <v>549</v>
      </c>
      <c r="D6" s="165" t="s">
        <v>3035</v>
      </c>
      <c r="E6" s="348" t="s">
        <v>1406</v>
      </c>
      <c r="F6" s="349">
        <f ca="1">INDIRECT("'数据-取费表'!u"&amp;$G$1)</f>
        <v>2.4</v>
      </c>
      <c r="G6" s="1856"/>
      <c r="H6" s="1295" t="s">
        <v>1035</v>
      </c>
      <c r="I6" s="3364" t="s">
        <v>1404</v>
      </c>
      <c r="J6" s="347">
        <f ca="1">ROUND(M6*M8*M7*(1-M9)/10000,0)</f>
        <v>0</v>
      </c>
      <c r="K6" s="165" t="s">
        <v>3034</v>
      </c>
      <c r="L6" s="348" t="s">
        <v>1406</v>
      </c>
      <c r="M6" s="349">
        <f ca="1">INDIRECT("'数据-取费表'!z"&amp;$G$1)</f>
        <v>0</v>
      </c>
    </row>
    <row r="7" spans="1:37" ht="18" customHeight="1">
      <c r="A7" s="1299"/>
      <c r="B7" s="3365"/>
      <c r="C7" s="1301"/>
      <c r="D7" s="353"/>
      <c r="E7" s="2936" t="s">
        <v>1407</v>
      </c>
      <c r="F7" s="349">
        <f ca="1">IF(INDIRECT("'数据-取费表'!ah"&amp;$G$1)="",INDIRECT("'数据-取费表'!k"&amp;$G$1),INDIRECT("'数据-取费表'!ah"&amp;$G$1))</f>
        <v>6958.0599999999995</v>
      </c>
      <c r="G7" s="1856"/>
      <c r="H7" s="350"/>
      <c r="I7" s="3365"/>
      <c r="J7" s="352"/>
      <c r="K7" s="353"/>
      <c r="L7" s="348" t="s">
        <v>1407</v>
      </c>
      <c r="M7" s="349">
        <f ca="1">F7</f>
        <v>6958.0599999999995</v>
      </c>
    </row>
    <row r="8" spans="1:37" ht="18" customHeight="1">
      <c r="A8" s="350"/>
      <c r="B8" s="3365"/>
      <c r="C8" s="352"/>
      <c r="D8" s="353"/>
      <c r="E8" s="348" t="s">
        <v>1408</v>
      </c>
      <c r="F8" s="349">
        <f ca="1">INDIRECT("'数据-取费表'!ai"&amp;$G$1)</f>
        <v>365</v>
      </c>
      <c r="G8" s="1856"/>
      <c r="H8" s="350"/>
      <c r="I8" s="3365"/>
      <c r="J8" s="352"/>
      <c r="K8" s="353"/>
      <c r="L8" s="348" t="s">
        <v>1408</v>
      </c>
      <c r="M8" s="349">
        <f ca="1">INDIRECT("'数据-取费表'!ai"&amp;$G$1)</f>
        <v>365</v>
      </c>
    </row>
    <row r="9" spans="1:37" ht="18" customHeight="1">
      <c r="A9" s="350"/>
      <c r="B9" s="3366"/>
      <c r="C9" s="352"/>
      <c r="D9" s="353"/>
      <c r="E9" s="348" t="s">
        <v>1409</v>
      </c>
      <c r="F9" s="358">
        <f ca="1">INDIRECT("'数据-取费表'!w"&amp;$G$1)</f>
        <v>0.1</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3036</v>
      </c>
      <c r="E10" s="359" t="s">
        <v>1412</v>
      </c>
      <c r="F10" s="1370" t="s">
        <v>3584</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2375</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1926</v>
      </c>
      <c r="D14" s="2930" t="s">
        <v>1420</v>
      </c>
      <c r="E14" s="2928"/>
      <c r="F14" s="365"/>
      <c r="G14" s="1856"/>
      <c r="H14" s="1205" t="s">
        <v>1035</v>
      </c>
      <c r="I14" s="348" t="s">
        <v>1421</v>
      </c>
      <c r="J14" s="24">
        <f ca="1">C29</f>
        <v>2730</v>
      </c>
      <c r="K14" s="2935"/>
      <c r="L14" s="983"/>
      <c r="M14" s="984"/>
    </row>
    <row r="15" spans="1:37" s="1863" customFormat="1" ht="18" customHeight="1" thickBot="1">
      <c r="A15" s="1205" t="s">
        <v>1036</v>
      </c>
      <c r="B15" s="348" t="s">
        <v>1422</v>
      </c>
      <c r="C15" s="24">
        <f ca="1">ROUND(C14*F15,0)</f>
        <v>96</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67</v>
      </c>
      <c r="K16" s="1341" t="s">
        <v>1427</v>
      </c>
      <c r="L16" s="2931"/>
      <c r="M16" s="1298"/>
    </row>
    <row r="17" spans="1:37" s="1863" customFormat="1" ht="18" customHeight="1">
      <c r="A17" s="1205" t="s">
        <v>1391</v>
      </c>
      <c r="B17" s="348" t="s">
        <v>1428</v>
      </c>
      <c r="C17" s="24">
        <f ca="1">ROUND(F17*(F43+INDIRECT("'数据-取费表'!S"&amp;$G$1))/10000,0)</f>
        <v>154</v>
      </c>
      <c r="D17" s="348" t="s">
        <v>1429</v>
      </c>
      <c r="E17" s="348" t="s">
        <v>1430</v>
      </c>
      <c r="F17" s="26">
        <f>'数据-取费表'!B35</f>
        <v>200</v>
      </c>
      <c r="G17" s="1859"/>
      <c r="H17" s="1205" t="s">
        <v>1035</v>
      </c>
      <c r="I17" s="348" t="s">
        <v>1431</v>
      </c>
      <c r="J17" s="24">
        <f ca="1">ROUND(IF(项目基本情况!B11="自然人",J5*M17,J18+J19+J20),1)</f>
        <v>25.7</v>
      </c>
      <c r="K17" s="2930" t="s">
        <v>1432</v>
      </c>
      <c r="L17" s="2929"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29</v>
      </c>
      <c r="D18" s="348" t="s">
        <v>1423</v>
      </c>
      <c r="E18" s="348" t="s">
        <v>1424</v>
      </c>
      <c r="F18" s="368">
        <f>'数据-取费表'!B36</f>
        <v>1.4999999999999999E-2</v>
      </c>
      <c r="G18" s="1859"/>
      <c r="H18" s="1205" t="s">
        <v>1034</v>
      </c>
      <c r="I18" s="348" t="s">
        <v>1435</v>
      </c>
      <c r="J18" s="24">
        <f ca="1">ROUND(J5*M18/(1+'数据-取费表'!C42),2)</f>
        <v>0</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2205</v>
      </c>
      <c r="D19" s="140" t="s">
        <v>1438</v>
      </c>
      <c r="E19" s="2934"/>
      <c r="F19" s="26"/>
      <c r="G19" s="1856"/>
      <c r="H19" s="1205" t="s">
        <v>1036</v>
      </c>
      <c r="I19" s="348" t="s">
        <v>1439</v>
      </c>
      <c r="J19" s="24">
        <f ca="1">IF(K19="按租金收入计税",ROUND(J5*M19,2),ROUND(C29*M19*0.7,2))</f>
        <v>22.93</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44</v>
      </c>
      <c r="D20" s="370" t="s">
        <v>1442</v>
      </c>
      <c r="E20" s="348" t="s">
        <v>1424</v>
      </c>
      <c r="F20" s="368">
        <f>'数据-取费表'!B37</f>
        <v>0.02</v>
      </c>
      <c r="G20" s="1859"/>
      <c r="H20" s="1205" t="s">
        <v>1390</v>
      </c>
      <c r="I20" s="165" t="s">
        <v>1443</v>
      </c>
      <c r="J20" s="25">
        <f ca="1">ROUND(M20*M21/10000,2)</f>
        <v>2.72</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1133.06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f ca="1">ROUND(J14*M22,1)</f>
        <v>41</v>
      </c>
      <c r="K22" s="2929"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49</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2929"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f ca="1">J5-J16</f>
        <v>-67</v>
      </c>
      <c r="K25" s="1349" t="s">
        <v>1466</v>
      </c>
      <c r="L25" s="1350"/>
      <c r="M25" s="1351"/>
    </row>
    <row r="26" spans="1:37">
      <c r="A26" s="1205" t="s">
        <v>1034</v>
      </c>
      <c r="B26" s="348" t="s">
        <v>1467</v>
      </c>
      <c r="C26" s="24">
        <f ca="1">ROUND((C19+C20)*F26,0)</f>
        <v>225</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2730</v>
      </c>
      <c r="D29" s="1346"/>
      <c r="E29" s="1344"/>
      <c r="F29" s="1347"/>
      <c r="G29" s="1859"/>
      <c r="H29" s="381" t="s">
        <v>1033</v>
      </c>
      <c r="I29" s="382" t="s">
        <v>1481</v>
      </c>
      <c r="J29" s="383">
        <f ca="1">ROUND(J26/(1+F40)^F41,0)</f>
        <v>0</v>
      </c>
      <c r="K29" s="384" t="s">
        <v>1482</v>
      </c>
      <c r="L29" s="385"/>
      <c r="M29" s="386">
        <f ca="1">INDIRECT("'数据-取费表'!k"&amp;$G$1)</f>
        <v>6958.0599999999995</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105</v>
      </c>
      <c r="D30" s="1341" t="s">
        <v>1427</v>
      </c>
      <c r="E30" s="2931"/>
      <c r="F30" s="1298"/>
      <c r="G30" s="1856"/>
      <c r="H30" s="746"/>
      <c r="I30" s="747"/>
      <c r="J30" s="748"/>
      <c r="K30" s="749"/>
      <c r="L30" s="750"/>
      <c r="M30" s="751"/>
    </row>
    <row r="31" spans="1:37" ht="18" customHeight="1">
      <c r="A31" s="1205" t="s">
        <v>1035</v>
      </c>
      <c r="B31" s="348" t="s">
        <v>1431</v>
      </c>
      <c r="C31" s="24">
        <f ca="1">ROUND(IF(项目基本情况!B11="自然人",C5*F31,C32+C33+C34),1)</f>
        <v>54.9</v>
      </c>
      <c r="D31" s="2930" t="s">
        <v>1432</v>
      </c>
      <c r="E31" s="2929" t="s">
        <v>1483</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1435</v>
      </c>
      <c r="C32" s="24">
        <f ca="1">IF(项目基本情况!B11="自然人","——",ROUND(C5*F32/(1+'数据-取费表'!C42),2))</f>
        <v>29.28</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22.93</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2.72</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1133.06</v>
      </c>
      <c r="G35" s="1856"/>
      <c r="H35" s="746"/>
      <c r="I35" s="1865"/>
      <c r="J35" s="1866"/>
      <c r="K35" s="1867"/>
      <c r="L35" s="1864"/>
      <c r="M35" s="1864"/>
    </row>
    <row r="36" spans="1:18" ht="18" customHeight="1">
      <c r="A36" s="1356" t="s">
        <v>1039</v>
      </c>
      <c r="B36" s="348" t="s">
        <v>1451</v>
      </c>
      <c r="C36" s="24">
        <f ca="1">ROUND(C29*F36,1)</f>
        <v>41</v>
      </c>
      <c r="D36" s="2929"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3.6</v>
      </c>
      <c r="D37" s="2929" t="s">
        <v>1456</v>
      </c>
      <c r="E37" s="348" t="s">
        <v>1424</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5.5</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444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11955</v>
      </c>
      <c r="D40" s="371" t="s">
        <v>1471</v>
      </c>
      <c r="E40" s="348" t="s">
        <v>1472</v>
      </c>
      <c r="F40" s="358">
        <f ca="1">INDIRECT("'数据-取费表'!I"&amp;$G$1)</f>
        <v>4.4999999999999998E-2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35.78</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17182</v>
      </c>
      <c r="D43" s="384" t="s">
        <v>1490</v>
      </c>
      <c r="E43" s="385" t="s">
        <v>1491</v>
      </c>
      <c r="F43" s="386">
        <f ca="1">INDIRECT("'数据-取费表'!k"&amp;$G$1)</f>
        <v>6958.0599999999995</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-13189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11955</v>
      </c>
      <c r="R47" s="1891" t="s">
        <v>1531</v>
      </c>
    </row>
    <row r="48" spans="1:18" s="1847" customFormat="1" ht="28.5" thickBot="1">
      <c r="A48" s="1364" t="s">
        <v>1135</v>
      </c>
      <c r="B48" s="346" t="s">
        <v>1402</v>
      </c>
      <c r="C48" s="2933">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3034</v>
      </c>
      <c r="E49" s="1835" t="s">
        <v>1493</v>
      </c>
      <c r="F49" s="1285"/>
      <c r="G49" s="1896"/>
      <c r="H49" s="794"/>
      <c r="I49" s="1892" t="s">
        <v>1536</v>
      </c>
      <c r="J49" s="1897"/>
      <c r="K49" s="1894" t="s">
        <v>1537</v>
      </c>
      <c r="L49" s="1898"/>
      <c r="O49" s="1899" t="s">
        <v>1042</v>
      </c>
      <c r="P49" s="1890" t="s">
        <v>1538</v>
      </c>
      <c r="Q49" s="1891">
        <f ca="1">C29</f>
        <v>2730</v>
      </c>
      <c r="R49" s="1891" t="s">
        <v>1531</v>
      </c>
    </row>
    <row r="50" spans="1:18" s="1847" customFormat="1" ht="13.5" thickBot="1">
      <c r="A50" s="1199"/>
      <c r="B50" s="1202"/>
      <c r="C50" s="1372"/>
      <c r="D50" s="1176"/>
      <c r="E50" s="1281" t="s">
        <v>1407</v>
      </c>
      <c r="F50" s="1282">
        <f ca="1">F7</f>
        <v>6958.0599999999995</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4571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35.78</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35.78</v>
      </c>
      <c r="K53" s="3362" t="s">
        <v>1550</v>
      </c>
      <c r="L53" s="3363"/>
      <c r="O53" s="1889" t="s">
        <v>1046</v>
      </c>
      <c r="P53" s="1890" t="s">
        <v>1551</v>
      </c>
      <c r="Q53" s="1891">
        <f ca="1">Q47+Q48</f>
        <v>11955</v>
      </c>
      <c r="R53" s="1891" t="s">
        <v>1047</v>
      </c>
    </row>
    <row r="54" spans="1:18" s="1847" customFormat="1" ht="13.5" thickBot="1">
      <c r="A54" s="1410"/>
      <c r="B54" s="1830" t="s">
        <v>1389</v>
      </c>
      <c r="C54" s="1182"/>
      <c r="D54" s="1829"/>
      <c r="E54" s="2932"/>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2375</v>
      </c>
      <c r="D56" s="1919"/>
      <c r="E56" s="1920"/>
      <c r="F56" s="1912"/>
      <c r="I56" s="1921" t="s">
        <v>1556</v>
      </c>
      <c r="J56" s="1922" t="s">
        <v>3043</v>
      </c>
      <c r="K56" s="1892" t="s">
        <v>1557</v>
      </c>
      <c r="L56" s="1895" t="str">
        <f ca="1">IF(L48&lt;J51,"——",L48-J53)</f>
        <v>——</v>
      </c>
      <c r="O56" s="1889" t="s">
        <v>1040</v>
      </c>
      <c r="P56" s="1890" t="s">
        <v>1530</v>
      </c>
      <c r="Q56" s="1891">
        <f ca="1">C40+J29</f>
        <v>11955</v>
      </c>
      <c r="R56" s="1891" t="s">
        <v>1531</v>
      </c>
    </row>
    <row r="57" spans="1:18" s="1847" customFormat="1" ht="24.75" thickBot="1">
      <c r="A57" s="1923"/>
      <c r="B57" s="1173" t="s">
        <v>1480</v>
      </c>
      <c r="C57" s="283">
        <f ca="1">C29</f>
        <v>2730</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70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25.7</v>
      </c>
      <c r="D59" s="1186" t="s">
        <v>1432</v>
      </c>
      <c r="E59" s="1187" t="s">
        <v>1433</v>
      </c>
      <c r="F59" s="369">
        <f ca="1">IF(项目基本情况!B11="企业","",IF(INDIRECT("'数据-取费表'!c"&amp;$G$1)="住宅",5%,IF(F49*F50*F51/12/(1+'数据-取费表'!C42)&gt;20000,12%,7%)))</f>
        <v>7.0000000000000007E-2</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22.93</v>
      </c>
      <c r="D61" s="1833" t="s">
        <v>1440</v>
      </c>
      <c r="E61" s="1173" t="s">
        <v>1424</v>
      </c>
      <c r="F61" s="368">
        <f t="shared" si="0"/>
        <v>1.2E-2</v>
      </c>
      <c r="I61" s="1933"/>
      <c r="J61" s="1933"/>
      <c r="K61" s="1933"/>
      <c r="L61" s="1933"/>
      <c r="O61" s="1899" t="s">
        <v>1045</v>
      </c>
      <c r="P61" s="1890" t="str">
        <f>K59</f>
        <v>续建工期及建筑物耐用年限下的土地年期修正系数Kn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2.72</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11955</v>
      </c>
      <c r="R62" s="1891" t="s">
        <v>1047</v>
      </c>
    </row>
    <row r="63" spans="1:18" s="1847" customFormat="1" ht="13.5" thickBot="1">
      <c r="A63" s="373"/>
      <c r="B63" s="1179"/>
      <c r="C63" s="29"/>
      <c r="D63" s="1189"/>
      <c r="E63" s="1173" t="s">
        <v>1449</v>
      </c>
      <c r="F63" s="349">
        <f t="shared" ca="1" si="0"/>
        <v>1133.06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41</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v>
      </c>
      <c r="D65" s="1187" t="s">
        <v>1456</v>
      </c>
      <c r="E65" s="1173" t="s">
        <v>1424</v>
      </c>
      <c r="F65" s="377">
        <f t="shared" ca="1" si="0"/>
        <v>1.5E-3</v>
      </c>
      <c r="I65" s="1934" t="s">
        <v>1581</v>
      </c>
      <c r="J65" s="1935">
        <v>40</v>
      </c>
      <c r="K65" s="1935">
        <v>30</v>
      </c>
      <c r="L65" s="1935">
        <v>50</v>
      </c>
      <c r="M65" s="1937">
        <v>0.02</v>
      </c>
      <c r="O65" s="1889" t="s">
        <v>1040</v>
      </c>
      <c r="P65" s="1890" t="s">
        <v>1530</v>
      </c>
      <c r="Q65" s="1891">
        <f ca="1">C40+J29</f>
        <v>11955</v>
      </c>
      <c r="R65" s="1891" t="s">
        <v>1531</v>
      </c>
    </row>
    <row r="66" spans="1:18" s="1847" customFormat="1" ht="16.5" thickBot="1">
      <c r="A66" s="1205" t="s">
        <v>1506</v>
      </c>
      <c r="B66" s="1173" t="s">
        <v>1441</v>
      </c>
      <c r="C66" s="24">
        <f ca="1">ROUND(C48*F66,1)</f>
        <v>0</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-70</v>
      </c>
      <c r="D67" s="1186" t="s">
        <v>1466</v>
      </c>
      <c r="E67" s="1191"/>
      <c r="F67" s="1192"/>
      <c r="O67" s="1899" t="s">
        <v>1042</v>
      </c>
      <c r="P67" s="1890" t="s">
        <v>1564</v>
      </c>
      <c r="Q67" s="1938">
        <f ca="1">L51</f>
        <v>4571</v>
      </c>
      <c r="R67" s="1891" t="s">
        <v>1584</v>
      </c>
    </row>
    <row r="68" spans="1:18" s="1847" customFormat="1" ht="16.5" thickBot="1">
      <c r="A68" s="1170" t="s">
        <v>1032</v>
      </c>
      <c r="B68" s="1171" t="s">
        <v>1487</v>
      </c>
      <c r="C68" s="347">
        <f ca="1">ROUND(C67*(1-((1+F70)/(1+F68))^F69)/(F68-F70),0)</f>
        <v>-1234</v>
      </c>
      <c r="D68" s="1188" t="s">
        <v>1471</v>
      </c>
      <c r="E68" s="1173" t="s">
        <v>1472</v>
      </c>
      <c r="F68" s="358">
        <f ca="1">F40</f>
        <v>4.4999999999999998E-2</v>
      </c>
      <c r="O68" s="1899" t="s">
        <v>1043</v>
      </c>
      <c r="P68" s="1939" t="s">
        <v>1585</v>
      </c>
      <c r="Q68" s="1891">
        <f ca="1">ROUND(Q69-Q70*Q71,0)</f>
        <v>242</v>
      </c>
      <c r="R68" s="1891" t="s">
        <v>1051</v>
      </c>
    </row>
    <row r="69" spans="1:18" s="1847" customFormat="1" ht="13.5" thickBot="1">
      <c r="A69" s="1174"/>
      <c r="B69" s="1175"/>
      <c r="C69" s="352"/>
      <c r="D69" s="1193" t="s">
        <v>1475</v>
      </c>
      <c r="E69" s="1173" t="s">
        <v>1476</v>
      </c>
      <c r="F69" s="380">
        <f ca="1">F41</f>
        <v>35.78</v>
      </c>
      <c r="O69" s="1899" t="s">
        <v>1048</v>
      </c>
      <c r="P69" s="1939" t="s">
        <v>1586</v>
      </c>
      <c r="Q69" s="1891">
        <f ca="1">C39</f>
        <v>444</v>
      </c>
      <c r="R69" s="1891" t="s">
        <v>1531</v>
      </c>
    </row>
    <row r="70" spans="1:18" s="1847" customFormat="1" ht="13.5" thickBot="1">
      <c r="A70" s="1177"/>
      <c r="B70" s="1178"/>
      <c r="C70" s="356"/>
      <c r="D70" s="1189"/>
      <c r="E70" s="1173" t="s">
        <v>1479</v>
      </c>
      <c r="F70" s="1279"/>
      <c r="O70" s="1899" t="s">
        <v>1049</v>
      </c>
      <c r="P70" s="1939" t="s">
        <v>1587</v>
      </c>
      <c r="Q70" s="1891">
        <f ca="1">C13</f>
        <v>2375</v>
      </c>
      <c r="R70" s="1891" t="s">
        <v>1531</v>
      </c>
    </row>
    <row r="71" spans="1:18" s="1847" customFormat="1" ht="13.5" thickBot="1">
      <c r="A71" s="1194" t="s">
        <v>1033</v>
      </c>
      <c r="B71" s="1195" t="s">
        <v>1489</v>
      </c>
      <c r="C71" s="383">
        <f ca="1">ROUND(C68*10000/F71,0)</f>
        <v>-1773</v>
      </c>
      <c r="D71" s="1196" t="s">
        <v>1490</v>
      </c>
      <c r="E71" s="1197" t="s">
        <v>1491</v>
      </c>
      <c r="F71" s="386">
        <f ca="1">F43</f>
        <v>6958.0599999999995</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续建工期及建筑物耐用年限下的土地年期修正系数Kn</v>
      </c>
      <c r="Q74" s="1891" t="e">
        <f ca="1">L59</f>
        <v>#DIV/0!</v>
      </c>
      <c r="R74" s="1891" t="s">
        <v>1571</v>
      </c>
    </row>
    <row r="75" spans="1:18" ht="13.5" thickBot="1">
      <c r="A75" s="1847"/>
      <c r="B75" s="387" t="s">
        <v>1508</v>
      </c>
      <c r="C75" s="388">
        <f ca="1">ROUND(C13*C76,0)</f>
        <v>202</v>
      </c>
      <c r="D75" s="1847"/>
      <c r="E75" s="1847"/>
      <c r="F75" s="1847"/>
      <c r="K75" s="1873"/>
      <c r="L75" s="1847"/>
      <c r="O75" s="1889" t="s">
        <v>1046</v>
      </c>
      <c r="P75" s="1890" t="s">
        <v>1551</v>
      </c>
      <c r="Q75" s="1891">
        <f ca="1">Q65+Q66</f>
        <v>11955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0.54499999999999993</v>
      </c>
    </row>
    <row r="80" spans="1:18">
      <c r="B80" s="387" t="s">
        <v>1513</v>
      </c>
      <c r="C80" s="319">
        <f ca="1">ROUND(C75/C39,3)</f>
        <v>0.45500000000000002</v>
      </c>
    </row>
    <row r="81" spans="2:3">
      <c r="B81" s="315" t="s">
        <v>1514</v>
      </c>
      <c r="C81" s="283"/>
    </row>
    <row r="82" spans="2:3">
      <c r="B82" s="318" t="s">
        <v>1515</v>
      </c>
      <c r="C82" s="320">
        <f ca="1">1-C83</f>
        <v>0.80099999999999993</v>
      </c>
    </row>
    <row r="83" spans="2:3">
      <c r="B83" s="318" t="s">
        <v>1516</v>
      </c>
      <c r="C83" s="319">
        <f ca="1">ROUND(C13/C40,3)</f>
        <v>0.19900000000000001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5" t="s">
        <v>3004</v>
      </c>
    </row>
    <row r="2" spans="1:5" ht="15.75">
      <c r="A2" s="2914" t="s">
        <v>2996</v>
      </c>
      <c r="B2" s="2915">
        <f ca="1">SUMIF(B6:B13,"&lt;&gt;#ref!",B6:B13)</f>
        <v>0</v>
      </c>
      <c r="C2" s="2914" t="s">
        <v>2997</v>
      </c>
      <c r="D2" s="2914" t="s">
        <v>2998</v>
      </c>
      <c r="E2" s="2915" t="e">
        <f ca="1">SUM(E6:E13)</f>
        <v>#REF!</v>
      </c>
    </row>
    <row r="3" spans="1:5" ht="15.75">
      <c r="A3" s="2914" t="s">
        <v>2999</v>
      </c>
      <c r="B3" s="2915" t="e">
        <f ca="1">ROUND(B2*10000/E2,0)</f>
        <v>#REF!</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#REF!</v>
      </c>
      <c r="C6" s="2914" t="s">
        <v>2997</v>
      </c>
      <c r="D6" s="2916"/>
      <c r="E6" s="2579" t="e">
        <f ca="1">SUMIF(INDIRECT("'"&amp;A6&amp;"'"&amp;"!C:C"),"建筑面积",INDIRECT("'"&amp;A6&amp;"'"&amp;"!D:D"))</f>
        <v>#REF!</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6" t="s">
        <v>1150</v>
      </c>
      <c r="C1" s="3416"/>
      <c r="D1" s="3416"/>
      <c r="E1" s="3416"/>
      <c r="F1" s="3416"/>
      <c r="G1" s="3412" t="s">
        <v>1151</v>
      </c>
      <c r="H1" s="3412"/>
      <c r="I1" s="3412"/>
      <c r="J1" s="3412"/>
      <c r="K1" s="3412"/>
      <c r="L1" s="3412"/>
      <c r="N1" s="3412" t="s">
        <v>1152</v>
      </c>
      <c r="O1" s="3412"/>
      <c r="P1" s="3412"/>
      <c r="Q1" s="3412"/>
      <c r="R1" s="1450"/>
      <c r="S1" s="3412" t="s">
        <v>1153</v>
      </c>
      <c r="T1" s="3412"/>
      <c r="U1" s="3412"/>
      <c r="V1" s="3412"/>
      <c r="X1" s="3411" t="s">
        <v>1154</v>
      </c>
      <c r="Y1" s="3412"/>
      <c r="Z1" s="3412"/>
      <c r="AA1" s="3412"/>
      <c r="AB1" s="3412"/>
      <c r="AD1" s="3411" t="s">
        <v>1155</v>
      </c>
      <c r="AE1" s="3412"/>
      <c r="AF1" s="3412"/>
      <c r="AG1" s="3412"/>
      <c r="AH1" s="3412"/>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7"/>
      <c r="J3" s="2937"/>
      <c r="K3" s="2937"/>
      <c r="L3" s="293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7">
        <f>ROUND(AVERAGE(I5:I20),2)</f>
        <v>2.4900000000000002</v>
      </c>
      <c r="J4" s="2937">
        <f t="shared" ref="J4:L4" si="7">ROUND(AVERAGE(J5:J20),2)</f>
        <v>1.64</v>
      </c>
      <c r="K4" s="2937">
        <f t="shared" si="7"/>
        <v>2.78</v>
      </c>
      <c r="L4" s="293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5">
        <v>2017</v>
      </c>
      <c r="H5" s="1735">
        <v>4</v>
      </c>
      <c r="I5" s="2938">
        <f>ROUND(AVERAGE(I6:I20),2)</f>
        <v>2.4900000000000002</v>
      </c>
      <c r="J5" s="2938">
        <f>ROUND(AVERAGE(J6:J20),2)</f>
        <v>1.64</v>
      </c>
      <c r="K5" s="2938">
        <f>ROUND(AVERAGE(K6:K20),2)</f>
        <v>2.78</v>
      </c>
      <c r="L5" s="293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7"/>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6"/>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7"/>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17">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4"/>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4"/>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5"/>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3">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4"/>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4"/>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5"/>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3">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4"/>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4"/>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5"/>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18">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19"/>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19"/>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0"/>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3">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4"/>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4"/>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5"/>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3">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4">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4">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5">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3">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4">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4">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5">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3">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4">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4">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5">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3">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4">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4">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5">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3">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4">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4">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5">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3">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4">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4">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5">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3">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4">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4">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5">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3">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4">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4">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5">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3">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4">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4">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5">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3">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4">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4">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5">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51760</v>
      </c>
      <c r="C2" s="2" t="s">
        <v>133</v>
      </c>
      <c r="D2" s="244"/>
      <c r="E2" s="244"/>
      <c r="F2" s="244"/>
      <c r="G2" s="244"/>
    </row>
    <row r="3" spans="1:7" s="245" customFormat="1" ht="18" customHeight="1" thickBot="1">
      <c r="A3" s="248" t="s">
        <v>85</v>
      </c>
      <c r="B3" s="249">
        <f ca="1">ROUND(B2*10000/'数据-汇总表'!E3,0)</f>
        <v>12554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825</v>
      </c>
      <c r="D10" s="1036">
        <f>'数据-汇总表'!E6</f>
        <v>41231.079999999994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825</v>
      </c>
      <c r="D19" s="1040">
        <f>'数据-汇总表'!E3</f>
        <v>41231.079999999994</v>
      </c>
      <c r="E19" s="256">
        <f>'数据-取费表'!B31</f>
        <v>200</v>
      </c>
      <c r="F19" s="276"/>
      <c r="G19" s="1" t="s">
        <v>1074</v>
      </c>
    </row>
    <row r="20" spans="1:7" s="259" customFormat="1" ht="13.5" customHeight="1">
      <c r="A20" s="952" t="s">
        <v>1057</v>
      </c>
      <c r="B20" s="255" t="s">
        <v>104</v>
      </c>
      <c r="C20" s="277">
        <f>ROUND((C5+C19)*F20,0)</f>
        <v>429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847</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807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32</v>
      </c>
      <c r="D24" s="283"/>
      <c r="E24" s="283"/>
      <c r="F24" s="284"/>
      <c r="G24" s="285" t="s">
        <v>109</v>
      </c>
    </row>
    <row r="25" spans="1:7" s="259" customFormat="1" ht="24">
      <c r="A25" s="955" t="s">
        <v>793</v>
      </c>
      <c r="B25" s="260" t="s">
        <v>1058</v>
      </c>
      <c r="C25" s="1359">
        <f ca="1">ROUND(IF('数据-取费表'!B22&lt;=1,C20*F22*'数据-取费表'!B23/2,C20*(POWER((1+F22),'数据-取费表'!B23/2)-1)),0)</f>
        <v>8</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5903</v>
      </c>
      <c r="D27" s="280">
        <f>C29</f>
        <v>5.4000000000000003E-3</v>
      </c>
      <c r="E27" s="281" t="s">
        <v>126</v>
      </c>
      <c r="F27" s="291">
        <f>'数据-取费表'!Q16</f>
        <v>0.3</v>
      </c>
      <c r="G27" s="292" t="s">
        <v>1069</v>
      </c>
    </row>
    <row r="28" spans="1:7" s="259" customFormat="1" ht="13.5" customHeight="1">
      <c r="A28" s="955" t="s">
        <v>794</v>
      </c>
      <c r="B28" s="293" t="s">
        <v>1062</v>
      </c>
      <c r="C28" s="294">
        <f>ROUND((C5+C19+C20)*F27*'数据-取费表'!B21/'数据-取费表'!B20,0)</f>
        <v>5903</v>
      </c>
      <c r="D28" s="280"/>
      <c r="E28" s="281"/>
      <c r="F28" s="291"/>
      <c r="G28" s="292"/>
    </row>
    <row r="29" spans="1:7" s="259" customFormat="1" ht="13.5" customHeight="1">
      <c r="A29" s="955" t="s">
        <v>792</v>
      </c>
      <c r="B29" s="293" t="s">
        <v>1063</v>
      </c>
      <c r="C29" s="283">
        <f>ROUND(C21*F27*'数据-取费表'!B21/'数据-取费表'!B20,4)</f>
        <v>5.4000000000000003E-3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31073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14144</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12623</v>
      </c>
      <c r="D34" s="262"/>
      <c r="E34" s="265"/>
      <c r="F34" s="302">
        <f>IF('数据-取费表'!B24=0,1,'数据-取费表'!N16)</f>
        <v>0.85</v>
      </c>
      <c r="G34" s="264" t="s">
        <v>116</v>
      </c>
    </row>
    <row r="35" spans="1:7" ht="13.5" customHeight="1">
      <c r="A35" s="955" t="s">
        <v>796</v>
      </c>
      <c r="B35" s="260" t="s">
        <v>60</v>
      </c>
      <c r="C35" s="265">
        <f>ROUND(C34*F35,0)</f>
        <v>631</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701</v>
      </c>
      <c r="D37" s="262">
        <f>'数据-汇总表'!E3</f>
        <v>41231.079999999994</v>
      </c>
      <c r="E37" s="294">
        <f>'数据-取费表'!B35</f>
        <v>200</v>
      </c>
      <c r="F37" s="304"/>
      <c r="G37" s="306" t="s">
        <v>119</v>
      </c>
    </row>
    <row r="38" spans="1:7" ht="13.5" customHeight="1">
      <c r="A38" s="955" t="s">
        <v>799</v>
      </c>
      <c r="B38" s="260" t="s">
        <v>63</v>
      </c>
      <c r="C38" s="265">
        <f>ROUND(C34*F38,0)</f>
        <v>189</v>
      </c>
      <c r="D38" s="265"/>
      <c r="E38" s="265"/>
      <c r="F38" s="304">
        <f>'数据-取费表'!B36</f>
        <v>1.4999999999999999E-2</v>
      </c>
      <c r="G38" s="264" t="s">
        <v>117</v>
      </c>
    </row>
    <row r="39" spans="1:7" s="259" customFormat="1" ht="13.5" customHeight="1">
      <c r="A39" s="952" t="s">
        <v>783</v>
      </c>
      <c r="B39" s="255" t="s">
        <v>104</v>
      </c>
      <c r="C39" s="277">
        <f>ROUND(C33*F20,0)</f>
        <v>283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283</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277</v>
      </c>
      <c r="D42" s="283"/>
      <c r="E42" s="283"/>
      <c r="F42" s="284"/>
      <c r="G42" s="3282" t="s">
        <v>121</v>
      </c>
    </row>
    <row r="43" spans="1:7" ht="13.5" customHeight="1">
      <c r="A43" s="955" t="s">
        <v>792</v>
      </c>
      <c r="B43" s="260" t="s">
        <v>1064</v>
      </c>
      <c r="C43" s="283">
        <f ca="1">ROUND(IF('数据-取费表'!B22&lt;=1,C39*F22*'数据-取费表'!B21/2,C39*(POWER((1+F22),'数据-取费表'!B21/2)-1)),0)</f>
        <v>6</v>
      </c>
      <c r="D43" s="283"/>
      <c r="E43" s="283"/>
      <c r="F43" s="284"/>
      <c r="G43" s="3283"/>
    </row>
    <row r="44" spans="1:7" ht="13.5" customHeight="1">
      <c r="A44" s="955" t="s">
        <v>793</v>
      </c>
      <c r="B44" s="260" t="s">
        <v>1066</v>
      </c>
      <c r="C44" s="283">
        <f ca="1">ROUND(IF('数据-取费表'!B22&lt;=1,C40*F22*'数据-取费表'!B21/2,C40*(POWER((1+F22),'数据-取费表'!B21/2)-1)),4)</f>
        <v>4.0000000000000002E-4</v>
      </c>
      <c r="D44" s="283"/>
      <c r="E44" s="283"/>
      <c r="F44" s="284"/>
      <c r="G44" s="3284"/>
    </row>
    <row r="45" spans="1:7" s="259" customFormat="1" ht="13.5" customHeight="1">
      <c r="A45" s="952" t="s">
        <v>786</v>
      </c>
      <c r="B45" s="289" t="s">
        <v>112</v>
      </c>
      <c r="C45" s="290">
        <f>C46</f>
        <v>4328</v>
      </c>
      <c r="D45" s="280">
        <f>C47</f>
        <v>6.0000000000000001E-3</v>
      </c>
      <c r="E45" s="281" t="s">
        <v>129</v>
      </c>
      <c r="F45" s="291"/>
      <c r="G45" s="292" t="s">
        <v>1072</v>
      </c>
    </row>
    <row r="46" spans="1:7" s="259" customFormat="1" ht="13.5" customHeight="1">
      <c r="A46" s="955" t="s">
        <v>794</v>
      </c>
      <c r="B46" s="293" t="s">
        <v>1065</v>
      </c>
      <c r="C46" s="294">
        <f>ROUND((C33+C39)*F27,0)</f>
        <v>4328</v>
      </c>
      <c r="D46" s="308"/>
      <c r="E46" s="281"/>
      <c r="F46" s="291"/>
      <c r="G46" s="292"/>
    </row>
    <row r="47" spans="1:7" s="259" customFormat="1" ht="13.5" customHeight="1">
      <c r="A47" s="955" t="s">
        <v>792</v>
      </c>
      <c r="B47" s="293" t="s">
        <v>1067</v>
      </c>
      <c r="C47" s="283">
        <f>ROUND(C40*F27,4)</f>
        <v>6.0000000000000001E-3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20687</v>
      </c>
      <c r="D49" s="277"/>
      <c r="E49" s="277"/>
      <c r="F49" s="309"/>
      <c r="G49" s="279" t="s">
        <v>1073</v>
      </c>
    </row>
    <row r="50" spans="1:7" s="303" customFormat="1" ht="24">
      <c r="A50" s="952" t="s">
        <v>789</v>
      </c>
      <c r="B50" s="255" t="s">
        <v>124</v>
      </c>
      <c r="C50" s="277"/>
      <c r="D50" s="277"/>
      <c r="E50" s="277"/>
      <c r="F50" s="309">
        <f>IF('数据-取费表'!B24=0,'数据-取费表'!N16,1)</f>
        <v>1</v>
      </c>
      <c r="G50" s="292" t="s">
        <v>125</v>
      </c>
    </row>
    <row r="51" spans="1:7" ht="16.5" customHeight="1">
      <c r="A51" s="952" t="s">
        <v>790</v>
      </c>
      <c r="B51" s="255" t="s">
        <v>132</v>
      </c>
      <c r="C51" s="277">
        <f ca="1">ROUND(C49*F50,0)</f>
        <v>20687</v>
      </c>
      <c r="D51" s="277"/>
      <c r="E51" s="277"/>
      <c r="F51" s="309"/>
      <c r="G51" s="279" t="s">
        <v>64</v>
      </c>
    </row>
    <row r="52" spans="1:7" s="253" customFormat="1" ht="16.5" thickBot="1">
      <c r="A52" s="310" t="s">
        <v>65</v>
      </c>
      <c r="B52" s="311"/>
      <c r="C52" s="312">
        <f ca="1">C31+C51</f>
        <v>51760</v>
      </c>
      <c r="D52" s="311"/>
      <c r="E52" s="311"/>
      <c r="F52" s="311"/>
      <c r="G52" s="313"/>
    </row>
    <row r="55" spans="1:7" ht="15">
      <c r="B55" s="315" t="s">
        <v>66</v>
      </c>
      <c r="C55" s="316"/>
    </row>
    <row r="56" spans="1:7">
      <c r="B56" s="318" t="s">
        <v>67</v>
      </c>
      <c r="C56" s="319">
        <f ca="1">ROUND(C51/C52,3)</f>
        <v>0.4</v>
      </c>
    </row>
    <row r="57" spans="1:7">
      <c r="B57" s="318" t="s">
        <v>68</v>
      </c>
      <c r="C57" s="320">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A3" sqref="A3:F48"/>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1" t="s">
        <v>156</v>
      </c>
      <c r="B1" s="3421"/>
      <c r="C1" s="3421"/>
      <c r="D1" s="3421"/>
      <c r="E1" s="3421"/>
      <c r="F1" s="342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2" t="s">
        <v>169</v>
      </c>
      <c r="B2" s="3422"/>
      <c r="C2" s="3422"/>
      <c r="D2" s="3422"/>
      <c r="E2" s="3422"/>
      <c r="F2" s="342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1" t="s">
        <v>871</v>
      </c>
      <c r="B1" s="342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40">
        <v>3.5000000000000003E-2</v>
      </c>
    </row>
    <row r="3" spans="1:2">
      <c r="A3">
        <f>ROUND(10*(1+B2)^15,2)</f>
        <v>16.75</v>
      </c>
    </row>
    <row r="5" spans="1:2">
      <c r="A5">
        <v>5</v>
      </c>
      <c r="B5" s="2953">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18" t="s">
        <v>1664</v>
      </c>
      <c r="B1" s="3118"/>
      <c r="C1" s="3118"/>
      <c r="D1" s="3118"/>
    </row>
    <row r="2" spans="1:4" ht="18">
      <c r="A2" s="3119" t="s">
        <v>1648</v>
      </c>
      <c r="B2" s="3119"/>
      <c r="C2" s="3119"/>
      <c r="D2" s="3119"/>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19" t="s">
        <v>1654</v>
      </c>
      <c r="B6" s="3119"/>
      <c r="C6" s="3119"/>
      <c r="D6" s="3119"/>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0" t="s">
        <v>1657</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21" t="str">
        <f>IF(项目基本情况!B8="抵押","4.本次评估估价师所知悉的法定优先受偿款情况说明如下：","——")</f>
        <v>4.本次评估估价师所知悉的法定优先受偿款情况说明如下：</v>
      </c>
      <c r="B14" s="3122"/>
      <c r="C14" s="3122"/>
      <c r="D14" s="3122"/>
    </row>
    <row r="15" spans="1:4" ht="42" customHeight="1">
      <c r="A15" s="3121"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1"/>
      <c r="C15" s="3121"/>
      <c r="D15" s="3121"/>
    </row>
    <row r="16" spans="1:4" ht="30" customHeight="1">
      <c r="A16" s="3124" t="s">
        <v>1658</v>
      </c>
      <c r="B16" s="3124"/>
      <c r="C16" s="3124"/>
      <c r="D16" s="3124"/>
    </row>
    <row r="17" spans="1:4" ht="144" customHeight="1">
      <c r="A17" s="3124" t="s">
        <v>1659</v>
      </c>
      <c r="B17" s="3124"/>
      <c r="C17" s="3124"/>
      <c r="D17" s="3124"/>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1660</v>
      </c>
      <c r="B22" s="3126"/>
      <c r="C22" s="3126"/>
      <c r="D22" s="3126"/>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3">
        <v>42551</v>
      </c>
      <c r="D31" s="31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1" customFormat="1" ht="28.5" customHeight="1">
      <c r="A1" s="3425" t="s">
        <v>3055</v>
      </c>
      <c r="B1" s="3425"/>
      <c r="C1" s="3425"/>
      <c r="D1" s="3425"/>
      <c r="E1" s="3425"/>
      <c r="F1" s="3425"/>
      <c r="G1" s="3425"/>
      <c r="H1" s="3425"/>
      <c r="I1" s="3425"/>
      <c r="J1" s="3425"/>
      <c r="K1" s="3425"/>
      <c r="L1" s="3425"/>
      <c r="M1" s="3425"/>
      <c r="N1" s="3425"/>
      <c r="O1" s="3425"/>
      <c r="P1" s="3425"/>
      <c r="Q1" s="3425"/>
    </row>
    <row r="2" spans="1:19" s="2943" customFormat="1" ht="18.75" customHeight="1">
      <c r="A2" s="3426" t="s">
        <v>3056</v>
      </c>
      <c r="B2" s="2942" t="s">
        <v>3057</v>
      </c>
      <c r="C2" s="2942" t="s">
        <v>3058</v>
      </c>
      <c r="D2" s="2942" t="s">
        <v>3059</v>
      </c>
      <c r="E2" s="2942" t="s">
        <v>3060</v>
      </c>
      <c r="F2" s="2942" t="s">
        <v>3061</v>
      </c>
      <c r="G2" s="2942" t="s">
        <v>3062</v>
      </c>
      <c r="H2" s="2942" t="s">
        <v>3063</v>
      </c>
      <c r="I2" s="2942" t="s">
        <v>3064</v>
      </c>
      <c r="J2" s="2942" t="s">
        <v>3065</v>
      </c>
      <c r="K2" s="2942" t="s">
        <v>3066</v>
      </c>
      <c r="L2" s="2942" t="s">
        <v>3067</v>
      </c>
      <c r="M2" s="2942" t="s">
        <v>3068</v>
      </c>
      <c r="N2" s="2942" t="s">
        <v>3069</v>
      </c>
      <c r="O2" s="2942" t="s">
        <v>3070</v>
      </c>
      <c r="P2" s="2942" t="s">
        <v>3071</v>
      </c>
      <c r="Q2" s="3426" t="s">
        <v>3072</v>
      </c>
    </row>
    <row r="3" spans="1:19" s="2943" customFormat="1" ht="18" customHeight="1">
      <c r="A3" s="3427"/>
      <c r="B3" s="2942" t="s">
        <v>3073</v>
      </c>
      <c r="C3" s="2942" t="s">
        <v>3074</v>
      </c>
      <c r="D3" s="2942" t="s">
        <v>3075</v>
      </c>
      <c r="E3" s="2942" t="s">
        <v>3076</v>
      </c>
      <c r="F3" s="2942" t="s">
        <v>3077</v>
      </c>
      <c r="G3" s="2942" t="s">
        <v>3078</v>
      </c>
      <c r="H3" s="2942" t="s">
        <v>3079</v>
      </c>
      <c r="I3" s="2942" t="s">
        <v>3080</v>
      </c>
      <c r="J3" s="2942" t="s">
        <v>3081</v>
      </c>
      <c r="K3" s="2942" t="s">
        <v>3082</v>
      </c>
      <c r="L3" s="2942" t="s">
        <v>3083</v>
      </c>
      <c r="M3" s="2942" t="s">
        <v>3084</v>
      </c>
      <c r="N3" s="2942" t="s">
        <v>3085</v>
      </c>
      <c r="O3" s="2942" t="s">
        <v>3086</v>
      </c>
      <c r="P3" s="2942" t="s">
        <v>3087</v>
      </c>
      <c r="Q3" s="3427"/>
    </row>
    <row r="4" spans="1:19" s="2941" customFormat="1" ht="18" customHeight="1">
      <c r="A4" s="2944" t="s">
        <v>3088</v>
      </c>
      <c r="B4" s="2945">
        <f>B5+B18</f>
        <v>29476.052190000002</v>
      </c>
      <c r="C4" s="2945">
        <f t="shared" ref="C4:P4" si="0">C5+C18</f>
        <v>30920.349999500002</v>
      </c>
      <c r="D4" s="2945">
        <f t="shared" si="0"/>
        <v>32456.862699475001</v>
      </c>
      <c r="E4" s="2945">
        <f t="shared" si="0"/>
        <v>32793.210052836257</v>
      </c>
      <c r="F4" s="2945">
        <f t="shared" si="0"/>
        <v>34675.563951800563</v>
      </c>
      <c r="G4" s="2945">
        <f t="shared" si="0"/>
        <v>35046.386908881344</v>
      </c>
      <c r="H4" s="2945">
        <f t="shared" si="0"/>
        <v>37057.571542427257</v>
      </c>
      <c r="I4" s="2945">
        <f t="shared" si="0"/>
        <v>37466.403852608812</v>
      </c>
      <c r="J4" s="2945">
        <f t="shared" si="0"/>
        <v>39615.775538627218</v>
      </c>
      <c r="K4" s="2945">
        <f t="shared" si="0"/>
        <v>40066.513160602386</v>
      </c>
      <c r="L4" s="2945">
        <f t="shared" si="0"/>
        <v>42364.15608962375</v>
      </c>
      <c r="M4" s="2945">
        <f t="shared" si="0"/>
        <v>42861.09431785137</v>
      </c>
      <c r="N4" s="2945">
        <f t="shared" si="0"/>
        <v>45317.88126899465</v>
      </c>
      <c r="O4" s="2945">
        <f t="shared" si="0"/>
        <v>45865.755665615601</v>
      </c>
      <c r="P4" s="2945">
        <f t="shared" si="0"/>
        <v>48493.414110262143</v>
      </c>
      <c r="Q4" s="2945">
        <f t="shared" ref="Q4:Q6" si="1">SUM(B4:P4)</f>
        <v>574476.99134910631</v>
      </c>
    </row>
    <row r="5" spans="1:19" s="2941" customFormat="1" ht="18" customHeight="1">
      <c r="A5" s="2944" t="s">
        <v>3089</v>
      </c>
      <c r="B5" s="2945">
        <f t="shared" ref="B5:P5" si="2">B6+B10+B14</f>
        <v>29276.052190000002</v>
      </c>
      <c r="C5" s="2945">
        <f t="shared" si="2"/>
        <v>30720.349999500002</v>
      </c>
      <c r="D5" s="2945">
        <f t="shared" si="2"/>
        <v>32236.862699475001</v>
      </c>
      <c r="E5" s="2945">
        <f t="shared" si="2"/>
        <v>32573.210052836253</v>
      </c>
      <c r="F5" s="2945">
        <f t="shared" si="2"/>
        <v>34433.563951800563</v>
      </c>
      <c r="G5" s="2945">
        <f t="shared" si="2"/>
        <v>34804.386908881344</v>
      </c>
      <c r="H5" s="2945">
        <f t="shared" si="2"/>
        <v>36791.37154242726</v>
      </c>
      <c r="I5" s="2945">
        <f t="shared" si="2"/>
        <v>37200.203852608814</v>
      </c>
      <c r="J5" s="2945">
        <f t="shared" si="2"/>
        <v>39322.955538627219</v>
      </c>
      <c r="K5" s="2945">
        <f t="shared" si="2"/>
        <v>39773.693160602386</v>
      </c>
      <c r="L5" s="2945">
        <f t="shared" si="2"/>
        <v>42042.054089623751</v>
      </c>
      <c r="M5" s="2945">
        <f t="shared" si="2"/>
        <v>42538.992317851371</v>
      </c>
      <c r="N5" s="2945">
        <f t="shared" si="2"/>
        <v>44963.56906899465</v>
      </c>
      <c r="O5" s="2945">
        <f t="shared" si="2"/>
        <v>45511.443465615601</v>
      </c>
      <c r="P5" s="2945">
        <f t="shared" si="2"/>
        <v>48103.670690262144</v>
      </c>
      <c r="Q5" s="2945">
        <f t="shared" si="1"/>
        <v>570292.37952910643</v>
      </c>
    </row>
    <row r="6" spans="1:19" s="2941" customFormat="1" ht="18" customHeight="1">
      <c r="A6" s="2944" t="s">
        <v>3090</v>
      </c>
      <c r="B6" s="2946">
        <f t="shared" ref="B6:P6" si="3">B7*B8*B9*365/10000</f>
        <v>22784.4169</v>
      </c>
      <c r="C6" s="2946">
        <f t="shared" si="3"/>
        <v>23923.637745</v>
      </c>
      <c r="D6" s="2946">
        <f t="shared" si="3"/>
        <v>25119.819632250001</v>
      </c>
      <c r="E6" s="2946">
        <f t="shared" si="3"/>
        <v>25119.819632250001</v>
      </c>
      <c r="F6" s="2946">
        <f t="shared" si="3"/>
        <v>26627.008810185001</v>
      </c>
      <c r="G6" s="2946">
        <f t="shared" si="3"/>
        <v>26627.008810185001</v>
      </c>
      <c r="H6" s="2946">
        <f t="shared" si="3"/>
        <v>28224.629338796101</v>
      </c>
      <c r="I6" s="2946">
        <f t="shared" si="3"/>
        <v>28224.629338796101</v>
      </c>
      <c r="J6" s="2946">
        <f t="shared" si="3"/>
        <v>29918.10709912387</v>
      </c>
      <c r="K6" s="2946">
        <f t="shared" si="3"/>
        <v>29918.10709912387</v>
      </c>
      <c r="L6" s="2946">
        <f t="shared" si="3"/>
        <v>31713.193525071307</v>
      </c>
      <c r="M6" s="2946">
        <f t="shared" si="3"/>
        <v>31713.193525071307</v>
      </c>
      <c r="N6" s="2946">
        <f t="shared" si="3"/>
        <v>33615.985136575582</v>
      </c>
      <c r="O6" s="2946">
        <f t="shared" si="3"/>
        <v>33615.985136575582</v>
      </c>
      <c r="P6" s="2946">
        <f t="shared" si="3"/>
        <v>35632.944244770122</v>
      </c>
      <c r="Q6" s="2946">
        <f t="shared" si="1"/>
        <v>432778.48597377387</v>
      </c>
      <c r="S6" s="2947"/>
    </row>
    <row r="7" spans="1:19" s="2941" customFormat="1" ht="18" customHeight="1">
      <c r="A7" s="2948" t="s">
        <v>3091</v>
      </c>
      <c r="B7" s="2946">
        <f>[2]写字楼实际计费面积!$F$155</f>
        <v>63697</v>
      </c>
      <c r="C7" s="2946">
        <f>[2]写字楼实际计费面积!$F$155</f>
        <v>63697</v>
      </c>
      <c r="D7" s="2946">
        <f>[2]写字楼实际计费面积!$F$155</f>
        <v>63697</v>
      </c>
      <c r="E7" s="2946">
        <f>[2]写字楼实际计费面积!$F$155</f>
        <v>63697</v>
      </c>
      <c r="F7" s="2946">
        <f>[2]写字楼实际计费面积!$F$155</f>
        <v>63697</v>
      </c>
      <c r="G7" s="2946">
        <f>[2]写字楼实际计费面积!$F$155</f>
        <v>63697</v>
      </c>
      <c r="H7" s="2946">
        <f>[2]写字楼实际计费面积!$F$155</f>
        <v>63697</v>
      </c>
      <c r="I7" s="2946">
        <f>[2]写字楼实际计费面积!$F$155</f>
        <v>63697</v>
      </c>
      <c r="J7" s="2946">
        <f>[2]写字楼实际计费面积!$F$155</f>
        <v>63697</v>
      </c>
      <c r="K7" s="2946">
        <f>[2]写字楼实际计费面积!$F$155</f>
        <v>63697</v>
      </c>
      <c r="L7" s="2946">
        <f>[2]写字楼实际计费面积!$F$155</f>
        <v>63697</v>
      </c>
      <c r="M7" s="2946">
        <f>[2]写字楼实际计费面积!$F$155</f>
        <v>63697</v>
      </c>
      <c r="N7" s="2946">
        <f>[2]写字楼实际计费面积!$F$155</f>
        <v>63697</v>
      </c>
      <c r="O7" s="2946">
        <f>[2]写字楼实际计费面积!$F$155</f>
        <v>63697</v>
      </c>
      <c r="P7" s="2946">
        <f>[2]写字楼实际计费面积!$F$155</f>
        <v>63697</v>
      </c>
      <c r="Q7" s="2945"/>
      <c r="S7" s="2947"/>
    </row>
    <row r="8" spans="1:19" s="2941" customFormat="1" ht="18" customHeight="1">
      <c r="A8" s="2948" t="s">
        <v>3092</v>
      </c>
      <c r="B8" s="2946">
        <v>10</v>
      </c>
      <c r="C8" s="2946">
        <f>B8*1.05</f>
        <v>10.5</v>
      </c>
      <c r="D8" s="2946">
        <f>C8*1.05</f>
        <v>11.025</v>
      </c>
      <c r="E8" s="2946">
        <f t="shared" ref="E8:I8" si="4">D8</f>
        <v>11.025</v>
      </c>
      <c r="F8" s="2946">
        <f t="shared" ref="F8:J8" si="5">E8*1.06</f>
        <v>11.686500000000001</v>
      </c>
      <c r="G8" s="2946">
        <f t="shared" si="4"/>
        <v>11.686500000000001</v>
      </c>
      <c r="H8" s="2946">
        <f t="shared" si="5"/>
        <v>12.387690000000001</v>
      </c>
      <c r="I8" s="2946">
        <f t="shared" si="4"/>
        <v>12.387690000000001</v>
      </c>
      <c r="J8" s="2946">
        <f t="shared" si="5"/>
        <v>13.130951400000002</v>
      </c>
      <c r="K8" s="2946">
        <f t="shared" ref="K8:O8" si="6">J8</f>
        <v>13.130951400000002</v>
      </c>
      <c r="L8" s="2946">
        <f t="shared" ref="L8:P8" si="7">K8*1.06</f>
        <v>13.918808484000003</v>
      </c>
      <c r="M8" s="2946">
        <f t="shared" si="6"/>
        <v>13.918808484000003</v>
      </c>
      <c r="N8" s="2946">
        <f t="shared" si="7"/>
        <v>14.753936993040004</v>
      </c>
      <c r="O8" s="2946">
        <f t="shared" si="6"/>
        <v>14.753936993040004</v>
      </c>
      <c r="P8" s="2946">
        <f t="shared" si="7"/>
        <v>15.639173212622405</v>
      </c>
      <c r="Q8" s="2945"/>
      <c r="R8" s="2941">
        <v>12.66</v>
      </c>
      <c r="S8" s="2949"/>
    </row>
    <row r="9" spans="1:19" s="2941" customFormat="1" ht="18" customHeight="1">
      <c r="A9" s="2948" t="s">
        <v>3093</v>
      </c>
      <c r="B9" s="2950">
        <v>0.98</v>
      </c>
      <c r="C9" s="2950">
        <v>0.98</v>
      </c>
      <c r="D9" s="2950">
        <v>0.98</v>
      </c>
      <c r="E9" s="2950">
        <v>0.98</v>
      </c>
      <c r="F9" s="2950">
        <v>0.98</v>
      </c>
      <c r="G9" s="2950">
        <v>0.98</v>
      </c>
      <c r="H9" s="2950">
        <v>0.98</v>
      </c>
      <c r="I9" s="2950">
        <v>0.98</v>
      </c>
      <c r="J9" s="2950">
        <v>0.98</v>
      </c>
      <c r="K9" s="2950">
        <v>0.98</v>
      </c>
      <c r="L9" s="2950">
        <v>0.98</v>
      </c>
      <c r="M9" s="2950">
        <v>0.98</v>
      </c>
      <c r="N9" s="2950">
        <v>0.98</v>
      </c>
      <c r="O9" s="2950">
        <v>0.98</v>
      </c>
      <c r="P9" s="2950">
        <v>0.98</v>
      </c>
      <c r="Q9" s="2951"/>
    </row>
    <row r="10" spans="1:19" s="2941" customFormat="1" ht="18" customHeight="1">
      <c r="A10" s="2944" t="s">
        <v>3094</v>
      </c>
      <c r="B10" s="2945">
        <f t="shared" ref="B10:P10" si="8">B11*B12*B13*365/10000</f>
        <v>6101.5392899999997</v>
      </c>
      <c r="C10" s="2945">
        <f t="shared" si="8"/>
        <v>6406.6162544999997</v>
      </c>
      <c r="D10" s="2945">
        <f t="shared" si="8"/>
        <v>6726.947067225</v>
      </c>
      <c r="E10" s="2945">
        <f t="shared" si="8"/>
        <v>7063.2944205862495</v>
      </c>
      <c r="F10" s="2945">
        <f t="shared" si="8"/>
        <v>7416.4591416155636</v>
      </c>
      <c r="G10" s="2945">
        <f t="shared" si="8"/>
        <v>7787.2820986963425</v>
      </c>
      <c r="H10" s="2945">
        <f t="shared" si="8"/>
        <v>8176.6462036311596</v>
      </c>
      <c r="I10" s="2945">
        <f t="shared" si="8"/>
        <v>8585.4785138127172</v>
      </c>
      <c r="J10" s="2945">
        <f t="shared" si="8"/>
        <v>9014.7524395033524</v>
      </c>
      <c r="K10" s="2945">
        <f t="shared" si="8"/>
        <v>9465.4900614785201</v>
      </c>
      <c r="L10" s="2945">
        <f t="shared" si="8"/>
        <v>9938.7645645524481</v>
      </c>
      <c r="M10" s="2945">
        <f t="shared" si="8"/>
        <v>10435.702792780068</v>
      </c>
      <c r="N10" s="2945">
        <f t="shared" si="8"/>
        <v>10957.48793241907</v>
      </c>
      <c r="O10" s="2945">
        <f t="shared" si="8"/>
        <v>11505.362329040025</v>
      </c>
      <c r="P10" s="2945">
        <f t="shared" si="8"/>
        <v>12080.630445492026</v>
      </c>
      <c r="Q10" s="2945">
        <f>SUM(B10:P10)</f>
        <v>131662.45355533253</v>
      </c>
      <c r="S10" s="2947"/>
    </row>
    <row r="11" spans="1:19" s="2941" customFormat="1" ht="18" customHeight="1">
      <c r="A11" s="2948" t="s">
        <v>3091</v>
      </c>
      <c r="B11" s="2946">
        <f>[2]商业实际计费面积!$C$49+8000</f>
        <v>15507</v>
      </c>
      <c r="C11" s="2946">
        <f>[2]商业实际计费面积!$C$49+8000</f>
        <v>15507</v>
      </c>
      <c r="D11" s="2946">
        <f>[2]商业实际计费面积!$C$49+8000</f>
        <v>15507</v>
      </c>
      <c r="E11" s="2946">
        <f>[2]商业实际计费面积!$C$49+8000</f>
        <v>15507</v>
      </c>
      <c r="F11" s="2946">
        <f>[2]商业实际计费面积!$C$49+8000</f>
        <v>15507</v>
      </c>
      <c r="G11" s="2946">
        <f>[2]商业实际计费面积!$C$49+8000</f>
        <v>15507</v>
      </c>
      <c r="H11" s="2946">
        <f>[2]商业实际计费面积!$C$49+8000</f>
        <v>15507</v>
      </c>
      <c r="I11" s="2946">
        <f>[2]商业实际计费面积!$C$49+8000</f>
        <v>15507</v>
      </c>
      <c r="J11" s="2946">
        <f>[2]商业实际计费面积!$C$49+8000</f>
        <v>15507</v>
      </c>
      <c r="K11" s="2946">
        <f>[2]商业实际计费面积!$C$49+8000</f>
        <v>15507</v>
      </c>
      <c r="L11" s="2946">
        <f>[2]商业实际计费面积!$C$49+8000</f>
        <v>15507</v>
      </c>
      <c r="M11" s="2946">
        <f>[2]商业实际计费面积!$C$49+8000</f>
        <v>15507</v>
      </c>
      <c r="N11" s="2946">
        <f>[2]商业实际计费面积!$C$49+8000</f>
        <v>15507</v>
      </c>
      <c r="O11" s="2946">
        <f>[2]商业实际计费面积!$C$49+8000</f>
        <v>15507</v>
      </c>
      <c r="P11" s="2946">
        <f>[2]商业实际计费面积!$C$49+8000</f>
        <v>15507</v>
      </c>
      <c r="Q11" s="2945"/>
      <c r="S11" s="2947"/>
    </row>
    <row r="12" spans="1:19" s="2941" customFormat="1" ht="18" customHeight="1">
      <c r="A12" s="2948" t="s">
        <v>3095</v>
      </c>
      <c r="B12" s="2946">
        <v>11</v>
      </c>
      <c r="C12" s="2946">
        <f t="shared" ref="C12:P12" si="9">B12*1.05</f>
        <v>11.55</v>
      </c>
      <c r="D12" s="2946">
        <f t="shared" si="9"/>
        <v>12.127500000000001</v>
      </c>
      <c r="E12" s="2946">
        <f t="shared" si="9"/>
        <v>12.733875000000001</v>
      </c>
      <c r="F12" s="2946">
        <f t="shared" si="9"/>
        <v>13.370568750000002</v>
      </c>
      <c r="G12" s="2946">
        <f t="shared" si="9"/>
        <v>14.039097187500003</v>
      </c>
      <c r="H12" s="2946">
        <f t="shared" si="9"/>
        <v>14.741052046875003</v>
      </c>
      <c r="I12" s="2946">
        <f t="shared" si="9"/>
        <v>15.478104649218754</v>
      </c>
      <c r="J12" s="2946">
        <f t="shared" si="9"/>
        <v>16.25200988167969</v>
      </c>
      <c r="K12" s="2946">
        <f t="shared" si="9"/>
        <v>17.064610375763674</v>
      </c>
      <c r="L12" s="2946">
        <f t="shared" si="9"/>
        <v>17.917840894551858</v>
      </c>
      <c r="M12" s="2946">
        <f t="shared" si="9"/>
        <v>18.813732939279451</v>
      </c>
      <c r="N12" s="2946">
        <f t="shared" si="9"/>
        <v>19.754419586243422</v>
      </c>
      <c r="O12" s="2946">
        <f t="shared" si="9"/>
        <v>20.742140565555594</v>
      </c>
      <c r="P12" s="2946">
        <f t="shared" si="9"/>
        <v>21.779247593833375</v>
      </c>
      <c r="Q12" s="2945"/>
      <c r="R12" s="2941">
        <v>15.82</v>
      </c>
    </row>
    <row r="13" spans="1:19" s="2941" customFormat="1" ht="18" customHeight="1">
      <c r="A13" s="2948" t="s">
        <v>3093</v>
      </c>
      <c r="B13" s="2950">
        <v>0.98</v>
      </c>
      <c r="C13" s="2950">
        <v>0.98</v>
      </c>
      <c r="D13" s="2950">
        <v>0.98</v>
      </c>
      <c r="E13" s="2950">
        <v>0.98</v>
      </c>
      <c r="F13" s="2950">
        <v>0.98</v>
      </c>
      <c r="G13" s="2950">
        <v>0.98</v>
      </c>
      <c r="H13" s="2950">
        <v>0.98</v>
      </c>
      <c r="I13" s="2950">
        <v>0.98</v>
      </c>
      <c r="J13" s="2950">
        <v>0.98</v>
      </c>
      <c r="K13" s="2950">
        <v>0.98</v>
      </c>
      <c r="L13" s="2950">
        <v>0.98</v>
      </c>
      <c r="M13" s="2950">
        <v>0.98</v>
      </c>
      <c r="N13" s="2950">
        <v>0.98</v>
      </c>
      <c r="O13" s="2950">
        <v>0.98</v>
      </c>
      <c r="P13" s="2950">
        <v>0.98</v>
      </c>
      <c r="Q13" s="2951"/>
    </row>
    <row r="14" spans="1:19" s="2941" customFormat="1" ht="18" customHeight="1">
      <c r="A14" s="2944" t="s">
        <v>3096</v>
      </c>
      <c r="B14" s="2945">
        <f t="shared" ref="B14:P14" si="10">B15*B16*B17*12/10000</f>
        <v>390.096</v>
      </c>
      <c r="C14" s="2945">
        <f t="shared" si="10"/>
        <v>390.096</v>
      </c>
      <c r="D14" s="2945">
        <f t="shared" si="10"/>
        <v>390.096</v>
      </c>
      <c r="E14" s="2945">
        <f t="shared" si="10"/>
        <v>390.096</v>
      </c>
      <c r="F14" s="2945">
        <f t="shared" si="10"/>
        <v>390.096</v>
      </c>
      <c r="G14" s="2945">
        <f t="shared" si="10"/>
        <v>390.096</v>
      </c>
      <c r="H14" s="2945">
        <f t="shared" si="10"/>
        <v>390.096</v>
      </c>
      <c r="I14" s="2945">
        <f t="shared" si="10"/>
        <v>390.096</v>
      </c>
      <c r="J14" s="2945">
        <f t="shared" si="10"/>
        <v>390.096</v>
      </c>
      <c r="K14" s="2945">
        <f t="shared" si="10"/>
        <v>390.096</v>
      </c>
      <c r="L14" s="2945">
        <f t="shared" si="10"/>
        <v>390.096</v>
      </c>
      <c r="M14" s="2945">
        <f t="shared" si="10"/>
        <v>390.096</v>
      </c>
      <c r="N14" s="2945">
        <f t="shared" si="10"/>
        <v>390.096</v>
      </c>
      <c r="O14" s="2945">
        <f t="shared" si="10"/>
        <v>390.096</v>
      </c>
      <c r="P14" s="2945">
        <f t="shared" si="10"/>
        <v>390.096</v>
      </c>
      <c r="Q14" s="2945">
        <f>SUM(B14:P14)</f>
        <v>5851.4399999999987</v>
      </c>
      <c r="S14" s="2947"/>
    </row>
    <row r="15" spans="1:19" s="2941" customFormat="1" ht="18" customHeight="1">
      <c r="A15" s="2948" t="s">
        <v>3097</v>
      </c>
      <c r="B15" s="2946">
        <v>301</v>
      </c>
      <c r="C15" s="2946">
        <v>301</v>
      </c>
      <c r="D15" s="2946">
        <v>301</v>
      </c>
      <c r="E15" s="2946">
        <v>301</v>
      </c>
      <c r="F15" s="2946">
        <v>301</v>
      </c>
      <c r="G15" s="2946">
        <v>301</v>
      </c>
      <c r="H15" s="2946">
        <v>301</v>
      </c>
      <c r="I15" s="2946">
        <v>301</v>
      </c>
      <c r="J15" s="2946">
        <v>301</v>
      </c>
      <c r="K15" s="2946">
        <v>301</v>
      </c>
      <c r="L15" s="2946">
        <v>301</v>
      </c>
      <c r="M15" s="2946">
        <v>301</v>
      </c>
      <c r="N15" s="2946">
        <v>301</v>
      </c>
      <c r="O15" s="2946">
        <v>301</v>
      </c>
      <c r="P15" s="2946">
        <v>301</v>
      </c>
      <c r="Q15" s="2945"/>
    </row>
    <row r="16" spans="1:19" s="2941" customFormat="1" ht="18" customHeight="1">
      <c r="A16" s="2948" t="s">
        <v>3098</v>
      </c>
      <c r="B16" s="2946">
        <v>1200</v>
      </c>
      <c r="C16" s="2946">
        <v>1200</v>
      </c>
      <c r="D16" s="2946">
        <v>1200</v>
      </c>
      <c r="E16" s="2946">
        <v>1200</v>
      </c>
      <c r="F16" s="2946">
        <v>1200</v>
      </c>
      <c r="G16" s="2946">
        <v>1200</v>
      </c>
      <c r="H16" s="2946">
        <v>1200</v>
      </c>
      <c r="I16" s="2946">
        <v>1200</v>
      </c>
      <c r="J16" s="2946">
        <v>1200</v>
      </c>
      <c r="K16" s="2946">
        <v>1200</v>
      </c>
      <c r="L16" s="2946">
        <v>1200</v>
      </c>
      <c r="M16" s="2946">
        <v>1200</v>
      </c>
      <c r="N16" s="2946">
        <v>1200</v>
      </c>
      <c r="O16" s="2946">
        <v>1200</v>
      </c>
      <c r="P16" s="2946">
        <v>1200</v>
      </c>
      <c r="Q16" s="2945"/>
      <c r="R16" s="2941">
        <f>ROUND(1200/35/30,2)</f>
        <v>1.1399999999999999</v>
      </c>
    </row>
    <row r="17" spans="1:256" s="2941" customFormat="1" ht="18" customHeight="1">
      <c r="A17" s="2948" t="s">
        <v>3093</v>
      </c>
      <c r="B17" s="2950">
        <v>0.9</v>
      </c>
      <c r="C17" s="2950">
        <v>0.9</v>
      </c>
      <c r="D17" s="2950">
        <v>0.9</v>
      </c>
      <c r="E17" s="2950">
        <v>0.9</v>
      </c>
      <c r="F17" s="2950">
        <v>0.9</v>
      </c>
      <c r="G17" s="2950">
        <v>0.9</v>
      </c>
      <c r="H17" s="2950">
        <v>0.9</v>
      </c>
      <c r="I17" s="2950">
        <v>0.9</v>
      </c>
      <c r="J17" s="2950">
        <v>0.9</v>
      </c>
      <c r="K17" s="2950">
        <v>0.9</v>
      </c>
      <c r="L17" s="2950">
        <v>0.9</v>
      </c>
      <c r="M17" s="2950">
        <v>0.9</v>
      </c>
      <c r="N17" s="2950">
        <v>0.9</v>
      </c>
      <c r="O17" s="2950">
        <v>0.9</v>
      </c>
      <c r="P17" s="2950">
        <v>0.9</v>
      </c>
      <c r="Q17" s="2951"/>
    </row>
    <row r="18" spans="1:256" s="2943" customFormat="1" ht="18" customHeight="1">
      <c r="A18" s="2944" t="s">
        <v>3099</v>
      </c>
      <c r="B18" s="2945">
        <v>200</v>
      </c>
      <c r="C18" s="2945">
        <v>200</v>
      </c>
      <c r="D18" s="2945">
        <f t="shared" ref="D18:H18" si="11">C18*1.1</f>
        <v>220.00000000000003</v>
      </c>
      <c r="E18" s="2945">
        <f t="shared" ref="E18:I18" si="12">D18</f>
        <v>220.00000000000003</v>
      </c>
      <c r="F18" s="2945">
        <f t="shared" si="11"/>
        <v>242.00000000000006</v>
      </c>
      <c r="G18" s="2945">
        <f t="shared" si="12"/>
        <v>242.00000000000006</v>
      </c>
      <c r="H18" s="2945">
        <f t="shared" si="11"/>
        <v>266.2000000000001</v>
      </c>
      <c r="I18" s="2945">
        <f t="shared" si="12"/>
        <v>266.2000000000001</v>
      </c>
      <c r="J18" s="2945">
        <f t="shared" ref="J18:N18" si="13">I18*1.1</f>
        <v>292.82000000000016</v>
      </c>
      <c r="K18" s="2945">
        <f t="shared" ref="K18:O18" si="14">J18</f>
        <v>292.82000000000016</v>
      </c>
      <c r="L18" s="2945">
        <f t="shared" si="13"/>
        <v>322.1020000000002</v>
      </c>
      <c r="M18" s="2945">
        <f t="shared" si="14"/>
        <v>322.1020000000002</v>
      </c>
      <c r="N18" s="2945">
        <f t="shared" si="13"/>
        <v>354.31220000000025</v>
      </c>
      <c r="O18" s="2945">
        <f t="shared" si="14"/>
        <v>354.31220000000025</v>
      </c>
      <c r="P18" s="2945">
        <f>O18*1.1</f>
        <v>389.7434200000003</v>
      </c>
      <c r="Q18" s="2945">
        <f>SUM(B18:P18)</f>
        <v>4184.6118200000019</v>
      </c>
    </row>
    <row r="19" spans="1:256" ht="18" customHeight="1">
      <c r="A19" s="2952" t="s">
        <v>3100</v>
      </c>
      <c r="B19" s="2941"/>
      <c r="C19" s="2941"/>
      <c r="D19" s="2941"/>
      <c r="E19" s="2941"/>
      <c r="F19" s="2941"/>
      <c r="G19" s="2941"/>
      <c r="H19" s="2941"/>
      <c r="I19" s="2941"/>
      <c r="J19" s="2941"/>
      <c r="K19" s="2941"/>
      <c r="L19" s="2941"/>
      <c r="M19" s="2941"/>
      <c r="N19" s="2941"/>
      <c r="O19" s="2941"/>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1"/>
      <c r="AQ19" s="2941"/>
      <c r="AR19" s="2941"/>
      <c r="AS19" s="2941"/>
      <c r="AT19" s="2941"/>
      <c r="AU19" s="2941"/>
      <c r="AV19" s="2941"/>
      <c r="AW19" s="2941"/>
      <c r="AX19" s="2941"/>
      <c r="AY19" s="2941"/>
      <c r="AZ19" s="2941"/>
      <c r="BA19" s="2941"/>
      <c r="BB19" s="2941"/>
      <c r="BC19" s="2941"/>
      <c r="BD19" s="2941"/>
      <c r="BE19" s="2941"/>
      <c r="BF19" s="2941"/>
      <c r="BG19" s="2941"/>
      <c r="BH19" s="2941"/>
      <c r="BI19" s="2941"/>
      <c r="BJ19" s="2941"/>
      <c r="BK19" s="2941"/>
      <c r="BL19" s="2941"/>
      <c r="BM19" s="2941"/>
      <c r="BN19" s="2941"/>
      <c r="BO19" s="2941"/>
      <c r="BP19" s="2941"/>
      <c r="BQ19" s="2941"/>
      <c r="BR19" s="2941"/>
      <c r="BS19" s="2941"/>
      <c r="BT19" s="2941"/>
      <c r="BU19" s="2941"/>
      <c r="BV19" s="2941"/>
      <c r="BW19" s="2941"/>
      <c r="BX19" s="2941"/>
      <c r="BY19" s="2941"/>
      <c r="BZ19" s="2941"/>
      <c r="CA19" s="2941"/>
      <c r="CB19" s="2941"/>
      <c r="CC19" s="2941"/>
      <c r="CD19" s="2941"/>
      <c r="CE19" s="2941"/>
      <c r="CF19" s="2941"/>
      <c r="CG19" s="2941"/>
      <c r="CH19" s="2941"/>
      <c r="CI19" s="2941"/>
      <c r="CJ19" s="2941"/>
      <c r="CK19" s="2941"/>
      <c r="CL19" s="2941"/>
      <c r="CM19" s="2941"/>
      <c r="CN19" s="2941"/>
      <c r="CO19" s="2941"/>
      <c r="CP19" s="2941"/>
      <c r="CQ19" s="2941"/>
      <c r="CR19" s="2941"/>
      <c r="CS19" s="2941"/>
      <c r="CT19" s="2941"/>
      <c r="CU19" s="2941"/>
      <c r="CV19" s="2941"/>
      <c r="CW19" s="2941"/>
      <c r="CX19" s="2941"/>
      <c r="CY19" s="2941"/>
      <c r="CZ19" s="2941"/>
      <c r="DA19" s="2941"/>
      <c r="DB19" s="2941"/>
      <c r="DC19" s="2941"/>
      <c r="DD19" s="2941"/>
      <c r="DE19" s="2941"/>
      <c r="DF19" s="2941"/>
      <c r="DG19" s="2941"/>
      <c r="DH19" s="2941"/>
      <c r="DI19" s="2941"/>
      <c r="DJ19" s="2941"/>
      <c r="DK19" s="2941"/>
      <c r="DL19" s="2941"/>
      <c r="DM19" s="2941"/>
      <c r="DN19" s="2941"/>
      <c r="DO19" s="2941"/>
      <c r="DP19" s="2941"/>
      <c r="DQ19" s="2941"/>
      <c r="DR19" s="2941"/>
      <c r="DS19" s="2941"/>
      <c r="DT19" s="2941"/>
      <c r="DU19" s="2941"/>
      <c r="DV19" s="2941"/>
      <c r="DW19" s="2941"/>
      <c r="DX19" s="2941"/>
      <c r="DY19" s="2941"/>
      <c r="DZ19" s="2941"/>
      <c r="EA19" s="2941"/>
      <c r="EB19" s="2941"/>
      <c r="EC19" s="2941"/>
      <c r="ED19" s="2941"/>
      <c r="EE19" s="2941"/>
      <c r="EF19" s="2941"/>
      <c r="EG19" s="2941"/>
      <c r="EH19" s="2941"/>
      <c r="EI19" s="2941"/>
      <c r="EJ19" s="2941"/>
      <c r="EK19" s="2941"/>
      <c r="EL19" s="2941"/>
      <c r="EM19" s="2941"/>
      <c r="EN19" s="2941"/>
      <c r="EO19" s="2941"/>
      <c r="EP19" s="2941"/>
      <c r="EQ19" s="2941"/>
      <c r="ER19" s="2941"/>
      <c r="ES19" s="2941"/>
      <c r="ET19" s="2941"/>
      <c r="EU19" s="2941"/>
      <c r="EV19" s="2941"/>
      <c r="EW19" s="2941"/>
      <c r="EX19" s="2941"/>
      <c r="EY19" s="2941"/>
      <c r="EZ19" s="2941"/>
      <c r="FA19" s="2941"/>
      <c r="FB19" s="2941"/>
      <c r="FC19" s="2941"/>
      <c r="FD19" s="2941"/>
      <c r="FE19" s="2941"/>
      <c r="FF19" s="2941"/>
      <c r="FG19" s="2941"/>
      <c r="FH19" s="2941"/>
      <c r="FI19" s="2941"/>
      <c r="FJ19" s="2941"/>
      <c r="FK19" s="2941"/>
      <c r="FL19" s="2941"/>
      <c r="FM19" s="2941"/>
      <c r="FN19" s="2941"/>
      <c r="FO19" s="2941"/>
      <c r="FP19" s="2941"/>
      <c r="FQ19" s="2941"/>
      <c r="FR19" s="2941"/>
      <c r="FS19" s="2941"/>
      <c r="FT19" s="2941"/>
      <c r="FU19" s="2941"/>
      <c r="FV19" s="2941"/>
      <c r="FW19" s="2941"/>
      <c r="FX19" s="2941"/>
      <c r="FY19" s="2941"/>
      <c r="FZ19" s="2941"/>
      <c r="GA19" s="2941"/>
      <c r="GB19" s="2941"/>
      <c r="GC19" s="2941"/>
      <c r="GD19" s="2941"/>
      <c r="GE19" s="2941"/>
      <c r="GF19" s="2941"/>
      <c r="GG19" s="2941"/>
      <c r="GH19" s="2941"/>
      <c r="GI19" s="2941"/>
      <c r="GJ19" s="2941"/>
      <c r="GK19" s="2941"/>
      <c r="GL19" s="2941"/>
      <c r="GM19" s="2941"/>
      <c r="GN19" s="2941"/>
      <c r="GO19" s="2941"/>
      <c r="GP19" s="2941"/>
      <c r="GQ19" s="2941"/>
      <c r="GR19" s="2941"/>
      <c r="GS19" s="2941"/>
      <c r="GT19" s="2941"/>
      <c r="GU19" s="2941"/>
      <c r="GV19" s="2941"/>
      <c r="GW19" s="2941"/>
      <c r="GX19" s="2941"/>
      <c r="GY19" s="2941"/>
      <c r="GZ19" s="2941"/>
      <c r="HA19" s="2941"/>
      <c r="HB19" s="2941"/>
      <c r="HC19" s="2941"/>
      <c r="HD19" s="2941"/>
      <c r="HE19" s="2941"/>
      <c r="HF19" s="2941"/>
      <c r="HG19" s="2941"/>
      <c r="HH19" s="2941"/>
      <c r="HI19" s="2941"/>
      <c r="HJ19" s="2941"/>
      <c r="HK19" s="2941"/>
      <c r="HL19" s="2941"/>
      <c r="HM19" s="2941"/>
      <c r="HN19" s="2941"/>
      <c r="HO19" s="2941"/>
      <c r="HP19" s="2941"/>
      <c r="HQ19" s="2941"/>
      <c r="HR19" s="2941"/>
      <c r="HS19" s="2941"/>
      <c r="HT19" s="2941"/>
      <c r="HU19" s="2941"/>
      <c r="HV19" s="2941"/>
      <c r="HW19" s="2941"/>
      <c r="HX19" s="2941"/>
      <c r="HY19" s="2941"/>
      <c r="HZ19" s="2941"/>
      <c r="IA19" s="2941"/>
      <c r="IB19" s="2941"/>
      <c r="IC19" s="2941"/>
      <c r="ID19" s="2941"/>
      <c r="IE19" s="2941"/>
      <c r="IF19" s="2941"/>
      <c r="IG19" s="2941"/>
      <c r="IH19" s="2941"/>
      <c r="II19" s="2941"/>
      <c r="IJ19" s="2941"/>
      <c r="IK19" s="2941"/>
      <c r="IL19" s="2941"/>
      <c r="IM19" s="2941"/>
      <c r="IN19" s="2941"/>
      <c r="IO19" s="2941"/>
      <c r="IP19" s="2941"/>
      <c r="IQ19" s="2941"/>
      <c r="IR19" s="2941"/>
      <c r="IS19" s="2941"/>
      <c r="IT19" s="2941"/>
      <c r="IU19" s="2941"/>
      <c r="IV19" s="2941"/>
    </row>
    <row r="20" spans="1:256" ht="18" customHeight="1">
      <c r="A20" s="2952" t="s">
        <v>3101</v>
      </c>
      <c r="B20" s="2941"/>
      <c r="C20" s="2941"/>
      <c r="D20" s="2941"/>
      <c r="E20" s="2941"/>
      <c r="F20" s="2941"/>
      <c r="G20" s="2941"/>
      <c r="H20" s="2941"/>
      <c r="I20" s="2941"/>
      <c r="J20" s="2941"/>
      <c r="K20" s="2941"/>
      <c r="L20" s="2941"/>
      <c r="M20" s="2941"/>
      <c r="N20" s="2941"/>
      <c r="O20" s="2941"/>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c r="AN20" s="2941"/>
      <c r="AO20" s="2941"/>
      <c r="AP20" s="2941"/>
      <c r="AQ20" s="2941"/>
      <c r="AR20" s="2941"/>
      <c r="AS20" s="2941"/>
      <c r="AT20" s="2941"/>
      <c r="AU20" s="2941"/>
      <c r="AV20" s="2941"/>
      <c r="AW20" s="2941"/>
      <c r="AX20" s="2941"/>
      <c r="AY20" s="2941"/>
      <c r="AZ20" s="2941"/>
      <c r="BA20" s="2941"/>
      <c r="BB20" s="2941"/>
      <c r="BC20" s="2941"/>
      <c r="BD20" s="2941"/>
      <c r="BE20" s="2941"/>
      <c r="BF20" s="2941"/>
      <c r="BG20" s="2941"/>
      <c r="BH20" s="2941"/>
      <c r="BI20" s="2941"/>
      <c r="BJ20" s="2941"/>
      <c r="BK20" s="2941"/>
      <c r="BL20" s="2941"/>
      <c r="BM20" s="2941"/>
      <c r="BN20" s="2941"/>
      <c r="BO20" s="2941"/>
      <c r="BP20" s="2941"/>
      <c r="BQ20" s="2941"/>
      <c r="BR20" s="2941"/>
      <c r="BS20" s="2941"/>
      <c r="BT20" s="2941"/>
      <c r="BU20" s="2941"/>
      <c r="BV20" s="2941"/>
      <c r="BW20" s="2941"/>
      <c r="BX20" s="2941"/>
      <c r="BY20" s="2941"/>
      <c r="BZ20" s="2941"/>
      <c r="CA20" s="2941"/>
      <c r="CB20" s="2941"/>
      <c r="CC20" s="2941"/>
      <c r="CD20" s="2941"/>
      <c r="CE20" s="2941"/>
      <c r="CF20" s="2941"/>
      <c r="CG20" s="2941"/>
      <c r="CH20" s="2941"/>
      <c r="CI20" s="2941"/>
      <c r="CJ20" s="2941"/>
      <c r="CK20" s="2941"/>
      <c r="CL20" s="2941"/>
      <c r="CM20" s="2941"/>
      <c r="CN20" s="2941"/>
      <c r="CO20" s="2941"/>
      <c r="CP20" s="2941"/>
      <c r="CQ20" s="2941"/>
      <c r="CR20" s="2941"/>
      <c r="CS20" s="2941"/>
      <c r="CT20" s="2941"/>
      <c r="CU20" s="2941"/>
      <c r="CV20" s="2941"/>
      <c r="CW20" s="2941"/>
      <c r="CX20" s="2941"/>
      <c r="CY20" s="2941"/>
      <c r="CZ20" s="2941"/>
      <c r="DA20" s="2941"/>
      <c r="DB20" s="2941"/>
      <c r="DC20" s="2941"/>
      <c r="DD20" s="2941"/>
      <c r="DE20" s="2941"/>
      <c r="DF20" s="2941"/>
      <c r="DG20" s="2941"/>
      <c r="DH20" s="2941"/>
      <c r="DI20" s="2941"/>
      <c r="DJ20" s="2941"/>
      <c r="DK20" s="2941"/>
      <c r="DL20" s="2941"/>
      <c r="DM20" s="2941"/>
      <c r="DN20" s="2941"/>
      <c r="DO20" s="2941"/>
      <c r="DP20" s="2941"/>
      <c r="DQ20" s="2941"/>
      <c r="DR20" s="2941"/>
      <c r="DS20" s="2941"/>
      <c r="DT20" s="2941"/>
      <c r="DU20" s="2941"/>
      <c r="DV20" s="2941"/>
      <c r="DW20" s="2941"/>
      <c r="DX20" s="2941"/>
      <c r="DY20" s="2941"/>
      <c r="DZ20" s="2941"/>
      <c r="EA20" s="2941"/>
      <c r="EB20" s="2941"/>
      <c r="EC20" s="2941"/>
      <c r="ED20" s="2941"/>
      <c r="EE20" s="2941"/>
      <c r="EF20" s="2941"/>
      <c r="EG20" s="2941"/>
      <c r="EH20" s="2941"/>
      <c r="EI20" s="2941"/>
      <c r="EJ20" s="2941"/>
      <c r="EK20" s="2941"/>
      <c r="EL20" s="2941"/>
      <c r="EM20" s="2941"/>
      <c r="EN20" s="2941"/>
      <c r="EO20" s="2941"/>
      <c r="EP20" s="2941"/>
      <c r="EQ20" s="2941"/>
      <c r="ER20" s="2941"/>
      <c r="ES20" s="2941"/>
      <c r="ET20" s="2941"/>
      <c r="EU20" s="2941"/>
      <c r="EV20" s="2941"/>
      <c r="EW20" s="2941"/>
      <c r="EX20" s="2941"/>
      <c r="EY20" s="2941"/>
      <c r="EZ20" s="2941"/>
      <c r="FA20" s="2941"/>
      <c r="FB20" s="2941"/>
      <c r="FC20" s="2941"/>
      <c r="FD20" s="2941"/>
      <c r="FE20" s="2941"/>
      <c r="FF20" s="2941"/>
      <c r="FG20" s="2941"/>
      <c r="FH20" s="2941"/>
      <c r="FI20" s="2941"/>
      <c r="FJ20" s="2941"/>
      <c r="FK20" s="2941"/>
      <c r="FL20" s="2941"/>
      <c r="FM20" s="2941"/>
      <c r="FN20" s="2941"/>
      <c r="FO20" s="2941"/>
      <c r="FP20" s="2941"/>
      <c r="FQ20" s="2941"/>
      <c r="FR20" s="2941"/>
      <c r="FS20" s="2941"/>
      <c r="FT20" s="2941"/>
      <c r="FU20" s="2941"/>
      <c r="FV20" s="2941"/>
      <c r="FW20" s="2941"/>
      <c r="FX20" s="2941"/>
      <c r="FY20" s="2941"/>
      <c r="FZ20" s="2941"/>
      <c r="GA20" s="2941"/>
      <c r="GB20" s="2941"/>
      <c r="GC20" s="2941"/>
      <c r="GD20" s="2941"/>
      <c r="GE20" s="2941"/>
      <c r="GF20" s="2941"/>
      <c r="GG20" s="2941"/>
      <c r="GH20" s="2941"/>
      <c r="GI20" s="2941"/>
      <c r="GJ20" s="2941"/>
      <c r="GK20" s="2941"/>
      <c r="GL20" s="2941"/>
      <c r="GM20" s="2941"/>
      <c r="GN20" s="2941"/>
      <c r="GO20" s="2941"/>
      <c r="GP20" s="2941"/>
      <c r="GQ20" s="2941"/>
      <c r="GR20" s="2941"/>
      <c r="GS20" s="2941"/>
      <c r="GT20" s="2941"/>
      <c r="GU20" s="2941"/>
      <c r="GV20" s="2941"/>
      <c r="GW20" s="2941"/>
      <c r="GX20" s="2941"/>
      <c r="GY20" s="2941"/>
      <c r="GZ20" s="2941"/>
      <c r="HA20" s="2941"/>
      <c r="HB20" s="2941"/>
      <c r="HC20" s="2941"/>
      <c r="HD20" s="2941"/>
      <c r="HE20" s="2941"/>
      <c r="HF20" s="2941"/>
      <c r="HG20" s="2941"/>
      <c r="HH20" s="2941"/>
      <c r="HI20" s="2941"/>
      <c r="HJ20" s="2941"/>
      <c r="HK20" s="2941"/>
      <c r="HL20" s="2941"/>
      <c r="HM20" s="2941"/>
      <c r="HN20" s="2941"/>
      <c r="HO20" s="2941"/>
      <c r="HP20" s="2941"/>
      <c r="HQ20" s="2941"/>
      <c r="HR20" s="2941"/>
      <c r="HS20" s="2941"/>
      <c r="HT20" s="2941"/>
      <c r="HU20" s="2941"/>
      <c r="HV20" s="2941"/>
      <c r="HW20" s="2941"/>
      <c r="HX20" s="2941"/>
      <c r="HY20" s="2941"/>
      <c r="HZ20" s="2941"/>
      <c r="IA20" s="2941"/>
      <c r="IB20" s="2941"/>
      <c r="IC20" s="2941"/>
      <c r="ID20" s="2941"/>
      <c r="IE20" s="2941"/>
      <c r="IF20" s="2941"/>
      <c r="IG20" s="2941"/>
      <c r="IH20" s="2941"/>
      <c r="II20" s="2941"/>
      <c r="IJ20" s="2941"/>
      <c r="IK20" s="2941"/>
      <c r="IL20" s="2941"/>
      <c r="IM20" s="2941"/>
      <c r="IN20" s="2941"/>
      <c r="IO20" s="2941"/>
      <c r="IP20" s="2941"/>
      <c r="IQ20" s="2941"/>
      <c r="IR20" s="2941"/>
      <c r="IS20" s="2941"/>
      <c r="IT20" s="2941"/>
      <c r="IU20" s="2941"/>
      <c r="IV20" s="2941"/>
    </row>
    <row r="21" spans="1:256" ht="18" customHeight="1">
      <c r="A21" s="2952" t="s">
        <v>3102</v>
      </c>
      <c r="B21" s="2947"/>
      <c r="C21" s="2941"/>
      <c r="D21" s="2941"/>
      <c r="E21" s="2941"/>
      <c r="F21" s="2941"/>
      <c r="G21" s="2941"/>
      <c r="H21" s="2941"/>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1"/>
      <c r="AQ21" s="2941"/>
      <c r="AR21" s="2941"/>
      <c r="AS21" s="2941"/>
      <c r="AT21" s="2941"/>
      <c r="AU21" s="2941"/>
      <c r="AV21" s="2941"/>
      <c r="AW21" s="2941"/>
      <c r="AX21" s="2941"/>
      <c r="AY21" s="2941"/>
      <c r="AZ21" s="2941"/>
      <c r="BA21" s="2941"/>
      <c r="BB21" s="2941"/>
      <c r="BC21" s="2941"/>
      <c r="BD21" s="2941"/>
      <c r="BE21" s="2941"/>
      <c r="BF21" s="2941"/>
      <c r="BG21" s="2941"/>
      <c r="BH21" s="2941"/>
      <c r="BI21" s="2941"/>
      <c r="BJ21" s="2941"/>
      <c r="BK21" s="2941"/>
      <c r="BL21" s="2941"/>
      <c r="BM21" s="2941"/>
      <c r="BN21" s="2941"/>
      <c r="BO21" s="2941"/>
      <c r="BP21" s="2941"/>
      <c r="BQ21" s="2941"/>
      <c r="BR21" s="2941"/>
      <c r="BS21" s="2941"/>
      <c r="BT21" s="2941"/>
      <c r="BU21" s="2941"/>
      <c r="BV21" s="2941"/>
      <c r="BW21" s="2941"/>
      <c r="BX21" s="2941"/>
      <c r="BY21" s="2941"/>
      <c r="BZ21" s="2941"/>
      <c r="CA21" s="2941"/>
      <c r="CB21" s="2941"/>
      <c r="CC21" s="2941"/>
      <c r="CD21" s="2941"/>
      <c r="CE21" s="2941"/>
      <c r="CF21" s="2941"/>
      <c r="CG21" s="2941"/>
      <c r="CH21" s="2941"/>
      <c r="CI21" s="2941"/>
      <c r="CJ21" s="2941"/>
      <c r="CK21" s="2941"/>
      <c r="CL21" s="2941"/>
      <c r="CM21" s="2941"/>
      <c r="CN21" s="2941"/>
      <c r="CO21" s="2941"/>
      <c r="CP21" s="2941"/>
      <c r="CQ21" s="2941"/>
      <c r="CR21" s="2941"/>
      <c r="CS21" s="2941"/>
      <c r="CT21" s="2941"/>
      <c r="CU21" s="2941"/>
      <c r="CV21" s="2941"/>
      <c r="CW21" s="2941"/>
      <c r="CX21" s="2941"/>
      <c r="CY21" s="2941"/>
      <c r="CZ21" s="2941"/>
      <c r="DA21" s="2941"/>
      <c r="DB21" s="2941"/>
      <c r="DC21" s="2941"/>
      <c r="DD21" s="2941"/>
      <c r="DE21" s="2941"/>
      <c r="DF21" s="2941"/>
      <c r="DG21" s="2941"/>
      <c r="DH21" s="2941"/>
      <c r="DI21" s="2941"/>
      <c r="DJ21" s="2941"/>
      <c r="DK21" s="2941"/>
      <c r="DL21" s="2941"/>
      <c r="DM21" s="2941"/>
      <c r="DN21" s="2941"/>
      <c r="DO21" s="2941"/>
      <c r="DP21" s="2941"/>
      <c r="DQ21" s="2941"/>
      <c r="DR21" s="2941"/>
      <c r="DS21" s="2941"/>
      <c r="DT21" s="2941"/>
      <c r="DU21" s="2941"/>
      <c r="DV21" s="2941"/>
      <c r="DW21" s="2941"/>
      <c r="DX21" s="2941"/>
      <c r="DY21" s="2941"/>
      <c r="DZ21" s="2941"/>
      <c r="EA21" s="2941"/>
      <c r="EB21" s="2941"/>
      <c r="EC21" s="2941"/>
      <c r="ED21" s="2941"/>
      <c r="EE21" s="2941"/>
      <c r="EF21" s="2941"/>
      <c r="EG21" s="2941"/>
      <c r="EH21" s="2941"/>
      <c r="EI21" s="2941"/>
      <c r="EJ21" s="2941"/>
      <c r="EK21" s="2941"/>
      <c r="EL21" s="2941"/>
      <c r="EM21" s="2941"/>
      <c r="EN21" s="2941"/>
      <c r="EO21" s="2941"/>
      <c r="EP21" s="2941"/>
      <c r="EQ21" s="2941"/>
      <c r="ER21" s="2941"/>
      <c r="ES21" s="2941"/>
      <c r="ET21" s="2941"/>
      <c r="EU21" s="2941"/>
      <c r="EV21" s="2941"/>
      <c r="EW21" s="2941"/>
      <c r="EX21" s="2941"/>
      <c r="EY21" s="2941"/>
      <c r="EZ21" s="2941"/>
      <c r="FA21" s="2941"/>
      <c r="FB21" s="2941"/>
      <c r="FC21" s="2941"/>
      <c r="FD21" s="2941"/>
      <c r="FE21" s="2941"/>
      <c r="FF21" s="2941"/>
      <c r="FG21" s="2941"/>
      <c r="FH21" s="2941"/>
      <c r="FI21" s="2941"/>
      <c r="FJ21" s="2941"/>
      <c r="FK21" s="2941"/>
      <c r="FL21" s="2941"/>
      <c r="FM21" s="2941"/>
      <c r="FN21" s="2941"/>
      <c r="FO21" s="2941"/>
      <c r="FP21" s="2941"/>
      <c r="FQ21" s="2941"/>
      <c r="FR21" s="2941"/>
      <c r="FS21" s="2941"/>
      <c r="FT21" s="2941"/>
      <c r="FU21" s="2941"/>
      <c r="FV21" s="2941"/>
      <c r="FW21" s="2941"/>
      <c r="FX21" s="2941"/>
      <c r="FY21" s="2941"/>
      <c r="FZ21" s="2941"/>
      <c r="GA21" s="2941"/>
      <c r="GB21" s="2941"/>
      <c r="GC21" s="2941"/>
      <c r="GD21" s="2941"/>
      <c r="GE21" s="2941"/>
      <c r="GF21" s="2941"/>
      <c r="GG21" s="2941"/>
      <c r="GH21" s="2941"/>
      <c r="GI21" s="2941"/>
      <c r="GJ21" s="2941"/>
      <c r="GK21" s="2941"/>
      <c r="GL21" s="2941"/>
      <c r="GM21" s="2941"/>
      <c r="GN21" s="2941"/>
      <c r="GO21" s="2941"/>
      <c r="GP21" s="2941"/>
      <c r="GQ21" s="2941"/>
      <c r="GR21" s="2941"/>
      <c r="GS21" s="2941"/>
      <c r="GT21" s="2941"/>
      <c r="GU21" s="2941"/>
      <c r="GV21" s="2941"/>
      <c r="GW21" s="2941"/>
      <c r="GX21" s="2941"/>
      <c r="GY21" s="2941"/>
      <c r="GZ21" s="2941"/>
      <c r="HA21" s="2941"/>
      <c r="HB21" s="2941"/>
      <c r="HC21" s="2941"/>
      <c r="HD21" s="2941"/>
      <c r="HE21" s="2941"/>
      <c r="HF21" s="2941"/>
      <c r="HG21" s="2941"/>
      <c r="HH21" s="2941"/>
      <c r="HI21" s="2941"/>
      <c r="HJ21" s="2941"/>
      <c r="HK21" s="2941"/>
      <c r="HL21" s="2941"/>
      <c r="HM21" s="2941"/>
      <c r="HN21" s="2941"/>
      <c r="HO21" s="2941"/>
      <c r="HP21" s="2941"/>
      <c r="HQ21" s="2941"/>
      <c r="HR21" s="2941"/>
      <c r="HS21" s="2941"/>
      <c r="HT21" s="2941"/>
      <c r="HU21" s="2941"/>
      <c r="HV21" s="2941"/>
      <c r="HW21" s="2941"/>
      <c r="HX21" s="2941"/>
      <c r="HY21" s="2941"/>
      <c r="HZ21" s="2941"/>
      <c r="IA21" s="2941"/>
      <c r="IB21" s="2941"/>
      <c r="IC21" s="2941"/>
      <c r="ID21" s="2941"/>
      <c r="IE21" s="2941"/>
      <c r="IF21" s="2941"/>
      <c r="IG21" s="2941"/>
      <c r="IH21" s="2941"/>
      <c r="II21" s="2941"/>
      <c r="IJ21" s="2941"/>
      <c r="IK21" s="2941"/>
      <c r="IL21" s="2941"/>
      <c r="IM21" s="2941"/>
      <c r="IN21" s="2941"/>
      <c r="IO21" s="2941"/>
      <c r="IP21" s="2941"/>
      <c r="IQ21" s="2941"/>
      <c r="IR21" s="2941"/>
      <c r="IS21" s="2941"/>
      <c r="IT21" s="2941"/>
      <c r="IU21" s="2941"/>
      <c r="IV21" s="2941"/>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5"/>
  <sheetViews>
    <sheetView workbookViewId="0">
      <selection activeCell="B42" sqref="B42"/>
    </sheetView>
  </sheetViews>
  <sheetFormatPr defaultRowHeight="13.5"/>
  <sheetData>
    <row r="1" spans="1:5">
      <c r="B1" s="3004" t="s">
        <v>3495</v>
      </c>
      <c r="C1" s="3004" t="s">
        <v>3497</v>
      </c>
      <c r="E1" s="3004" t="s">
        <v>3499</v>
      </c>
    </row>
    <row r="2" spans="1:5">
      <c r="A2" s="3004" t="s">
        <v>3496</v>
      </c>
      <c r="B2">
        <f>典型户型修正!R25</f>
        <v>113227</v>
      </c>
      <c r="C2" t="e">
        <f ca="1">ROUND(C3*10000/E2,0)</f>
        <v>#N/A</v>
      </c>
      <c r="E2">
        <f>'数据-汇总表'!F21+'数据-汇总表'!F22</f>
        <v>0</v>
      </c>
    </row>
    <row r="3" spans="1:5">
      <c r="A3" s="3004" t="s">
        <v>3500</v>
      </c>
      <c r="B3" t="e">
        <f ca="1">ROUND(B2*E2/10000-'收益法-商业已租'!C46,0)</f>
        <v>#N/A</v>
      </c>
      <c r="C3" t="e">
        <f ca="1">'收益法-商业已租'!B2+'收益法-车库'!B2</f>
        <v>#N/A</v>
      </c>
    </row>
    <row r="4" spans="1:5">
      <c r="A4" s="3004" t="s">
        <v>3501</v>
      </c>
      <c r="B4" s="3367" t="e">
        <f ca="1">B3/C3-1</f>
        <v>#N/A</v>
      </c>
      <c r="C4" s="3367"/>
    </row>
    <row r="5" spans="1:5">
      <c r="A5" s="3004" t="s">
        <v>3502</v>
      </c>
      <c r="B5" s="2953">
        <v>0.6</v>
      </c>
      <c r="C5" s="2953">
        <v>0.4</v>
      </c>
    </row>
    <row r="6" spans="1:5">
      <c r="A6" s="3004" t="s">
        <v>3503</v>
      </c>
      <c r="B6" s="3368" t="e">
        <f ca="1">ROUND(B3*B5+C3*C5,0)</f>
        <v>#N/A</v>
      </c>
      <c r="C6" s="3368"/>
    </row>
    <row r="7" spans="1:5">
      <c r="A7" s="3004" t="s">
        <v>3504</v>
      </c>
      <c r="B7" s="3368" t="e">
        <f ca="1">ROUND(B6*10000/E2,0)</f>
        <v>#N/A</v>
      </c>
      <c r="C7" s="3368"/>
    </row>
    <row r="11" spans="1:5">
      <c r="A11" s="3004" t="s">
        <v>3572</v>
      </c>
    </row>
    <row r="12" spans="1:5">
      <c r="B12" s="3004" t="s">
        <v>3504</v>
      </c>
      <c r="C12" s="3004" t="s">
        <v>3574</v>
      </c>
    </row>
    <row r="13" spans="1:5">
      <c r="A13" s="3004" t="s">
        <v>3573</v>
      </c>
      <c r="B13" t="e">
        <f ca="1">'结果表-办公'!B7:C7</f>
        <v>#N/A</v>
      </c>
      <c r="C13" s="3081" t="e">
        <f ca="1">'结果表-办公'!B6</f>
        <v>#N/A</v>
      </c>
    </row>
    <row r="14" spans="1:5">
      <c r="A14" s="3004" t="s">
        <v>3575</v>
      </c>
      <c r="B14" t="e">
        <f ca="1">B7</f>
        <v>#N/A</v>
      </c>
      <c r="C14" t="e">
        <f ca="1">B6</f>
        <v>#N/A</v>
      </c>
    </row>
    <row r="15" spans="1:5">
      <c r="A15" s="3428" t="s">
        <v>3576</v>
      </c>
      <c r="B15" s="3428"/>
      <c r="C15" t="e">
        <f ca="1">SUM(C13:C14)</f>
        <v>#N/A</v>
      </c>
    </row>
  </sheetData>
  <mergeCells count="4">
    <mergeCell ref="B4:C4"/>
    <mergeCell ref="B6:C6"/>
    <mergeCell ref="B7:C7"/>
    <mergeCell ref="A15:B15"/>
  </mergeCells>
  <phoneticPr fontId="14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L31" sqref="L31"/>
    </sheetView>
  </sheetViews>
  <sheetFormatPr defaultRowHeight="13.5"/>
  <sheetData>
    <row r="1" spans="1:11">
      <c r="A1" s="2954"/>
      <c r="B1" s="2955" t="s">
        <v>3103</v>
      </c>
      <c r="C1" s="2955" t="s">
        <v>3114</v>
      </c>
      <c r="D1" s="2955" t="s">
        <v>3115</v>
      </c>
      <c r="E1" s="2955" t="s">
        <v>3110</v>
      </c>
      <c r="F1" s="2955" t="s">
        <v>3116</v>
      </c>
      <c r="G1" s="2955" t="s">
        <v>3117</v>
      </c>
      <c r="H1" s="2955" t="s">
        <v>3112</v>
      </c>
      <c r="I1" s="2955" t="s">
        <v>3114</v>
      </c>
      <c r="J1" s="2955" t="s">
        <v>3115</v>
      </c>
      <c r="K1" s="2955" t="s">
        <v>3113</v>
      </c>
    </row>
    <row r="2" spans="1:11">
      <c r="A2" s="2955" t="s">
        <v>3107</v>
      </c>
      <c r="B2" s="2954"/>
      <c r="C2" s="2954"/>
      <c r="D2" s="2954"/>
      <c r="E2" s="2954"/>
      <c r="F2" s="2954"/>
      <c r="G2" s="2954"/>
      <c r="H2" s="2954"/>
      <c r="I2" s="2954"/>
      <c r="J2" s="2954"/>
      <c r="K2" s="2954">
        <v>3039.85</v>
      </c>
    </row>
    <row r="3" spans="1:11">
      <c r="A3" s="2955" t="s">
        <v>3108</v>
      </c>
      <c r="B3" s="2954">
        <v>6954.92</v>
      </c>
      <c r="C3" s="2954">
        <f>C5*0.6</f>
        <v>60000</v>
      </c>
      <c r="D3" s="2954">
        <f>ROUND(B3*C3/10000,0)</f>
        <v>41730</v>
      </c>
      <c r="E3" s="2954"/>
      <c r="F3" s="2954"/>
      <c r="G3" s="2954"/>
      <c r="H3" s="2954">
        <v>6958.06</v>
      </c>
      <c r="I3" s="2954">
        <v>15000</v>
      </c>
      <c r="J3" s="2954">
        <f>ROUND(I3*H3/10000,0)</f>
        <v>10437</v>
      </c>
      <c r="K3" s="2954"/>
    </row>
    <row r="4" spans="1:11">
      <c r="A4" s="2955" t="s">
        <v>3109</v>
      </c>
      <c r="B4" s="2954">
        <v>6650.82</v>
      </c>
      <c r="C4" s="2954">
        <f>C5*0.75</f>
        <v>75000</v>
      </c>
      <c r="D4" s="2954">
        <f t="shared" ref="D4:D7" si="0">ROUND(B4*C4/10000,0)</f>
        <v>49881</v>
      </c>
      <c r="E4" s="2954"/>
      <c r="F4" s="2954"/>
      <c r="G4" s="2954"/>
      <c r="H4" s="2954"/>
      <c r="I4" s="2954"/>
      <c r="J4" s="2954"/>
      <c r="K4" s="2954"/>
    </row>
    <row r="5" spans="1:11">
      <c r="A5" s="2955" t="s">
        <v>3104</v>
      </c>
      <c r="B5" s="2954">
        <f>2894.59+1377.98</f>
        <v>4272.57</v>
      </c>
      <c r="C5" s="2954">
        <v>100000</v>
      </c>
      <c r="D5" s="2954">
        <f t="shared" si="0"/>
        <v>42726</v>
      </c>
      <c r="E5" s="2954"/>
      <c r="F5" s="2954"/>
      <c r="G5" s="2954"/>
      <c r="H5" s="2954"/>
      <c r="I5" s="2954"/>
      <c r="J5" s="2954"/>
      <c r="K5" s="2954"/>
    </row>
    <row r="6" spans="1:11">
      <c r="A6" s="2955" t="s">
        <v>3105</v>
      </c>
      <c r="B6" s="2954">
        <v>4505.8599999999997</v>
      </c>
      <c r="C6" s="2954">
        <f>C5*0.8</f>
        <v>80000</v>
      </c>
      <c r="D6" s="2954">
        <f t="shared" si="0"/>
        <v>36047</v>
      </c>
      <c r="E6" s="2954"/>
      <c r="F6" s="2954"/>
      <c r="G6" s="2954"/>
      <c r="H6" s="2954"/>
      <c r="I6" s="2954"/>
      <c r="J6" s="2954"/>
      <c r="K6" s="2954"/>
    </row>
    <row r="7" spans="1:11">
      <c r="A7" s="2955" t="s">
        <v>3106</v>
      </c>
      <c r="B7" s="2954">
        <f>1558.86+1582.73</f>
        <v>3141.59</v>
      </c>
      <c r="C7" s="2954">
        <f>C5*0.7</f>
        <v>70000</v>
      </c>
      <c r="D7" s="2954">
        <f t="shared" si="0"/>
        <v>21991</v>
      </c>
      <c r="E7" s="2954"/>
      <c r="F7" s="2954"/>
      <c r="G7" s="2954"/>
      <c r="H7" s="2954"/>
      <c r="I7" s="2954"/>
      <c r="J7" s="2954"/>
      <c r="K7" s="2954"/>
    </row>
    <row r="8" spans="1:11">
      <c r="A8" s="2955" t="s">
        <v>3111</v>
      </c>
      <c r="B8" s="2954"/>
      <c r="C8" s="2954"/>
      <c r="D8" s="2954"/>
      <c r="E8" s="2954">
        <v>63306.74</v>
      </c>
      <c r="F8" s="2954">
        <v>50000</v>
      </c>
      <c r="G8" s="2954">
        <f>ROUND(F8*E8/10000,0)</f>
        <v>316534</v>
      </c>
      <c r="H8" s="2954"/>
      <c r="I8" s="2954"/>
      <c r="J8" s="2954"/>
      <c r="K8" s="2954"/>
    </row>
    <row r="9" spans="1:11">
      <c r="A9" s="2955" t="s">
        <v>3118</v>
      </c>
      <c r="B9" s="2954">
        <f>D3+D4+D5+D6+D7+G8+J3</f>
        <v>519346</v>
      </c>
      <c r="C9" s="2954"/>
      <c r="D9" s="2954"/>
      <c r="E9" s="2954"/>
      <c r="F9" s="2954"/>
      <c r="G9" s="2954"/>
      <c r="H9" s="2954"/>
      <c r="I9" s="2954"/>
      <c r="J9" s="2954"/>
      <c r="K9" s="2954"/>
    </row>
    <row r="10" spans="1:11">
      <c r="A10" s="2954"/>
      <c r="B10" s="2954"/>
      <c r="C10" s="2954"/>
      <c r="D10" s="2954"/>
      <c r="E10" s="2954"/>
      <c r="F10" s="2954"/>
      <c r="G10" s="2954"/>
      <c r="H10" s="2954"/>
      <c r="I10" s="2954"/>
      <c r="J10" s="2954"/>
      <c r="K10" s="2954"/>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O54" sqref="O54"/>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42" t="s">
        <v>3141</v>
      </c>
      <c r="B1" s="3442"/>
      <c r="C1" s="3442"/>
      <c r="D1" s="3442"/>
      <c r="E1" s="3442"/>
      <c r="F1" s="3442"/>
      <c r="G1" s="3442"/>
      <c r="H1" s="3442"/>
      <c r="I1" s="3442"/>
      <c r="N1" s="3435" t="s">
        <v>3339</v>
      </c>
      <c r="O1" s="3435"/>
      <c r="P1" s="3435"/>
      <c r="Q1" s="3435"/>
      <c r="R1" s="3435"/>
      <c r="S1" s="3435"/>
      <c r="T1" s="3435"/>
    </row>
    <row r="2" spans="1:22">
      <c r="A2" s="3443" t="s">
        <v>3142</v>
      </c>
      <c r="B2" s="3443" t="s">
        <v>3143</v>
      </c>
      <c r="C2" s="3443" t="s">
        <v>3144</v>
      </c>
      <c r="D2" s="3443" t="s">
        <v>3145</v>
      </c>
      <c r="E2" s="3443" t="s">
        <v>3146</v>
      </c>
      <c r="F2" s="3445" t="s">
        <v>3147</v>
      </c>
      <c r="G2" s="3445" t="s">
        <v>3148</v>
      </c>
      <c r="H2" s="3443" t="s">
        <v>3149</v>
      </c>
      <c r="I2" s="3441" t="s">
        <v>3150</v>
      </c>
      <c r="J2" s="3431" t="s">
        <v>3364</v>
      </c>
      <c r="K2" s="3431" t="s">
        <v>3371</v>
      </c>
      <c r="N2" s="3438" t="s">
        <v>3145</v>
      </c>
      <c r="O2" s="3439" t="s">
        <v>3146</v>
      </c>
      <c r="P2" s="3439" t="s">
        <v>3340</v>
      </c>
      <c r="Q2" s="3439" t="s">
        <v>3341</v>
      </c>
      <c r="R2" s="3439" t="s">
        <v>3149</v>
      </c>
      <c r="S2" s="3439" t="s">
        <v>3342</v>
      </c>
      <c r="T2" s="3441" t="s">
        <v>3343</v>
      </c>
      <c r="U2" s="3004" t="s">
        <v>3370</v>
      </c>
      <c r="V2" s="3004" t="s">
        <v>3371</v>
      </c>
    </row>
    <row r="3" spans="1:22">
      <c r="A3" s="3444"/>
      <c r="B3" s="3444"/>
      <c r="C3" s="3444"/>
      <c r="D3" s="3444"/>
      <c r="E3" s="3444"/>
      <c r="F3" s="3446"/>
      <c r="G3" s="3446"/>
      <c r="H3" s="3444"/>
      <c r="I3" s="3441"/>
      <c r="J3" s="3432"/>
      <c r="K3" s="3432"/>
      <c r="N3" s="3438"/>
      <c r="O3" s="3440"/>
      <c r="P3" s="3440"/>
      <c r="Q3" s="3440"/>
      <c r="R3" s="3440"/>
      <c r="S3" s="3440"/>
      <c r="T3" s="3441"/>
    </row>
    <row r="4" spans="1:22">
      <c r="A4" s="2988" t="s">
        <v>3151</v>
      </c>
      <c r="B4" s="2988" t="s">
        <v>3152</v>
      </c>
      <c r="C4" s="2988" t="s">
        <v>3153</v>
      </c>
      <c r="D4" s="2988" t="s">
        <v>3154</v>
      </c>
      <c r="E4" s="2988" t="s">
        <v>3155</v>
      </c>
      <c r="F4" s="2989">
        <v>1707.95</v>
      </c>
      <c r="G4" s="2990">
        <v>205</v>
      </c>
      <c r="H4" s="2988" t="s">
        <v>3156</v>
      </c>
      <c r="I4" s="2991" t="s">
        <v>3157</v>
      </c>
      <c r="J4" s="2954">
        <f>ROUND(G4/30,2)</f>
        <v>6.83</v>
      </c>
      <c r="K4" s="2954">
        <f>G4*F4*12</f>
        <v>4201557</v>
      </c>
      <c r="N4" s="2995" t="s">
        <v>3344</v>
      </c>
      <c r="O4" s="2995" t="s">
        <v>3345</v>
      </c>
      <c r="P4" s="2996">
        <v>152.26</v>
      </c>
      <c r="Q4" s="3429" t="s">
        <v>3346</v>
      </c>
      <c r="R4" s="3430"/>
      <c r="S4" s="2997">
        <f>(420*2+500*2+550)/5</f>
        <v>478</v>
      </c>
      <c r="T4" s="2998" t="s">
        <v>3157</v>
      </c>
      <c r="U4">
        <f>ROUND(S4/30,2)</f>
        <v>15.93</v>
      </c>
      <c r="V4" s="3010">
        <f>S4*P4*12</f>
        <v>873363.36</v>
      </c>
    </row>
    <row r="5" spans="1:22">
      <c r="A5" s="2988" t="s">
        <v>3151</v>
      </c>
      <c r="B5" s="2988" t="s">
        <v>3152</v>
      </c>
      <c r="C5" s="2988" t="s">
        <v>3158</v>
      </c>
      <c r="D5" s="2988" t="s">
        <v>3159</v>
      </c>
      <c r="E5" s="2988" t="s">
        <v>3160</v>
      </c>
      <c r="F5" s="2989">
        <v>1117.02</v>
      </c>
      <c r="G5" s="2990">
        <v>300</v>
      </c>
      <c r="H5" s="2988" t="s">
        <v>3161</v>
      </c>
      <c r="I5" s="2991" t="s">
        <v>3157</v>
      </c>
      <c r="J5" s="2954">
        <f t="shared" ref="J5:J58" si="0">ROUND(G5/30,2)</f>
        <v>10</v>
      </c>
      <c r="K5" s="2954">
        <f t="shared" ref="K5:K58" si="1">G5*F5*12</f>
        <v>4021272</v>
      </c>
      <c r="N5" s="2995" t="s">
        <v>3347</v>
      </c>
      <c r="O5" s="2999" t="s">
        <v>3348</v>
      </c>
      <c r="P5" s="2996">
        <v>417</v>
      </c>
      <c r="Q5" s="3429" t="s">
        <v>3346</v>
      </c>
      <c r="R5" s="3430"/>
      <c r="S5" s="2997">
        <f>(270*2+287*2+305)/5</f>
        <v>283.8</v>
      </c>
      <c r="T5" s="2998" t="s">
        <v>3157</v>
      </c>
      <c r="U5">
        <f t="shared" ref="U5:U11" si="2">ROUND(S5/30,2)</f>
        <v>9.4600000000000009</v>
      </c>
      <c r="V5" s="3010">
        <f t="shared" ref="V5:V11" si="3">S5*P5*12</f>
        <v>1420135.2000000002</v>
      </c>
    </row>
    <row r="6" spans="1:22">
      <c r="A6" s="2988" t="s">
        <v>3151</v>
      </c>
      <c r="B6" s="2988" t="s">
        <v>3152</v>
      </c>
      <c r="C6" s="2988" t="s">
        <v>3162</v>
      </c>
      <c r="D6" s="2988" t="s">
        <v>3163</v>
      </c>
      <c r="E6" s="2988" t="s">
        <v>3164</v>
      </c>
      <c r="F6" s="2989">
        <v>770.48</v>
      </c>
      <c r="G6" s="2990">
        <v>280</v>
      </c>
      <c r="H6" s="2988" t="s">
        <v>3165</v>
      </c>
      <c r="I6" s="2991" t="s">
        <v>3157</v>
      </c>
      <c r="J6" s="2954">
        <f t="shared" si="0"/>
        <v>9.33</v>
      </c>
      <c r="K6" s="2954">
        <f t="shared" si="1"/>
        <v>2588812.7999999998</v>
      </c>
      <c r="M6" s="3047" t="s">
        <v>3474</v>
      </c>
      <c r="N6" s="3041" t="s">
        <v>3349</v>
      </c>
      <c r="O6" s="3042" t="s">
        <v>3350</v>
      </c>
      <c r="P6" s="3043">
        <v>500</v>
      </c>
      <c r="Q6" s="3436" t="s">
        <v>3346</v>
      </c>
      <c r="R6" s="3437"/>
      <c r="S6" s="3044">
        <f>(274+296+320+346+374)/5</f>
        <v>322</v>
      </c>
      <c r="T6" s="3045" t="s">
        <v>3157</v>
      </c>
      <c r="U6" s="3046">
        <f t="shared" si="2"/>
        <v>10.73</v>
      </c>
      <c r="V6" s="3048">
        <f t="shared" si="3"/>
        <v>1932000</v>
      </c>
    </row>
    <row r="7" spans="1:22">
      <c r="A7" s="2988" t="s">
        <v>3151</v>
      </c>
      <c r="B7" s="2988" t="s">
        <v>3152</v>
      </c>
      <c r="C7" s="2988" t="s">
        <v>3162</v>
      </c>
      <c r="D7" s="2988" t="s">
        <v>3166</v>
      </c>
      <c r="E7" s="2988" t="s">
        <v>3167</v>
      </c>
      <c r="F7" s="2989">
        <v>909.53</v>
      </c>
      <c r="G7" s="2990">
        <v>300</v>
      </c>
      <c r="H7" s="2988" t="s">
        <v>3168</v>
      </c>
      <c r="I7" s="2991" t="s">
        <v>3157</v>
      </c>
      <c r="J7" s="2954">
        <f t="shared" si="0"/>
        <v>10</v>
      </c>
      <c r="K7" s="2954">
        <f t="shared" si="1"/>
        <v>3274308</v>
      </c>
      <c r="N7" s="2995" t="s">
        <v>3351</v>
      </c>
      <c r="O7" s="3000" t="s">
        <v>3352</v>
      </c>
      <c r="P7" s="2996">
        <v>145.87</v>
      </c>
      <c r="Q7" s="3429" t="s">
        <v>3353</v>
      </c>
      <c r="R7" s="3430"/>
      <c r="S7" s="3001">
        <f>(415+435.7+457.5+480.4)/4</f>
        <v>447.15</v>
      </c>
      <c r="T7" s="2998" t="s">
        <v>3157</v>
      </c>
      <c r="U7">
        <f t="shared" si="2"/>
        <v>14.91</v>
      </c>
      <c r="V7" s="3010">
        <f t="shared" si="3"/>
        <v>782709.24600000004</v>
      </c>
    </row>
    <row r="8" spans="1:22">
      <c r="A8" s="2988" t="s">
        <v>3151</v>
      </c>
      <c r="B8" s="2988" t="s">
        <v>3152</v>
      </c>
      <c r="C8" s="2988" t="s">
        <v>3169</v>
      </c>
      <c r="D8" s="2988" t="s">
        <v>3170</v>
      </c>
      <c r="E8" s="2988" t="s">
        <v>3171</v>
      </c>
      <c r="F8" s="2989">
        <v>1165.77</v>
      </c>
      <c r="G8" s="2990">
        <v>280</v>
      </c>
      <c r="H8" s="2988" t="s">
        <v>3165</v>
      </c>
      <c r="I8" s="2991" t="s">
        <v>3157</v>
      </c>
      <c r="J8" s="2954">
        <f t="shared" si="0"/>
        <v>9.33</v>
      </c>
      <c r="K8" s="2954">
        <f t="shared" si="1"/>
        <v>3916987.1999999997</v>
      </c>
      <c r="N8" s="2995" t="s">
        <v>3354</v>
      </c>
      <c r="O8" s="3000" t="s">
        <v>3355</v>
      </c>
      <c r="P8" s="2996">
        <v>119.15</v>
      </c>
      <c r="Q8" s="3429" t="s">
        <v>3353</v>
      </c>
      <c r="R8" s="3430"/>
      <c r="S8" s="3001">
        <f>(450+472.5+496.13+520.93)/4</f>
        <v>484.89</v>
      </c>
      <c r="T8" s="2998" t="s">
        <v>3157</v>
      </c>
      <c r="U8">
        <f t="shared" si="2"/>
        <v>16.16</v>
      </c>
      <c r="V8" s="3010">
        <f t="shared" si="3"/>
        <v>693295.72199999995</v>
      </c>
    </row>
    <row r="9" spans="1:22">
      <c r="A9" s="2988" t="s">
        <v>3151</v>
      </c>
      <c r="B9" s="2988" t="s">
        <v>3152</v>
      </c>
      <c r="C9" s="2988" t="s">
        <v>3169</v>
      </c>
      <c r="D9" s="2988" t="s">
        <v>3172</v>
      </c>
      <c r="E9" s="2988" t="s">
        <v>3173</v>
      </c>
      <c r="F9" s="2989">
        <v>504.92</v>
      </c>
      <c r="G9" s="2990">
        <v>280</v>
      </c>
      <c r="H9" s="2988" t="s">
        <v>3174</v>
      </c>
      <c r="I9" s="2991" t="s">
        <v>3157</v>
      </c>
      <c r="J9" s="2954">
        <f t="shared" si="0"/>
        <v>9.33</v>
      </c>
      <c r="K9" s="2954">
        <f t="shared" si="1"/>
        <v>1696531.2000000002</v>
      </c>
      <c r="N9" s="2995" t="s">
        <v>3356</v>
      </c>
      <c r="O9" s="3000" t="s">
        <v>3357</v>
      </c>
      <c r="P9" s="2996">
        <v>519.13</v>
      </c>
      <c r="Q9" s="3429" t="s">
        <v>3358</v>
      </c>
      <c r="R9" s="3430"/>
      <c r="S9" s="3001">
        <f>(350+367.5+385.88+405.17+425.43+446.7)/6</f>
        <v>396.78000000000003</v>
      </c>
      <c r="T9" s="2998" t="s">
        <v>3157</v>
      </c>
      <c r="U9">
        <f t="shared" si="2"/>
        <v>13.23</v>
      </c>
      <c r="V9" s="3010">
        <f t="shared" si="3"/>
        <v>2471764.8168000001</v>
      </c>
    </row>
    <row r="10" spans="1:22">
      <c r="A10" s="2988" t="s">
        <v>3151</v>
      </c>
      <c r="B10" s="2988" t="s">
        <v>3152</v>
      </c>
      <c r="C10" s="2988" t="s">
        <v>3175</v>
      </c>
      <c r="D10" s="2988" t="s">
        <v>3176</v>
      </c>
      <c r="E10" s="2988" t="s">
        <v>3177</v>
      </c>
      <c r="F10" s="2989">
        <v>439.32</v>
      </c>
      <c r="G10" s="2990">
        <v>290</v>
      </c>
      <c r="H10" s="2988" t="s">
        <v>3178</v>
      </c>
      <c r="I10" s="2991" t="s">
        <v>3157</v>
      </c>
      <c r="J10" s="2954">
        <f t="shared" si="0"/>
        <v>9.67</v>
      </c>
      <c r="K10" s="2954">
        <f t="shared" si="1"/>
        <v>1528833.6</v>
      </c>
      <c r="N10" s="2995" t="s">
        <v>3359</v>
      </c>
      <c r="O10" s="3433" t="s">
        <v>3360</v>
      </c>
      <c r="P10" s="2996">
        <f>14+82</f>
        <v>96</v>
      </c>
      <c r="Q10" s="3429" t="s">
        <v>3361</v>
      </c>
      <c r="R10" s="3430"/>
      <c r="S10" s="3002">
        <f>(463*2+486.15*2+510.46*2+535.99*2)/8</f>
        <v>498.9</v>
      </c>
      <c r="T10" s="2998" t="s">
        <v>3157</v>
      </c>
      <c r="U10">
        <f t="shared" si="2"/>
        <v>16.63</v>
      </c>
      <c r="V10" s="3010">
        <f t="shared" si="3"/>
        <v>574732.79999999993</v>
      </c>
    </row>
    <row r="11" spans="1:22">
      <c r="A11" s="2988" t="s">
        <v>3151</v>
      </c>
      <c r="B11" s="2988" t="s">
        <v>3152</v>
      </c>
      <c r="C11" s="2988" t="s">
        <v>3175</v>
      </c>
      <c r="D11" s="2988" t="s">
        <v>3179</v>
      </c>
      <c r="E11" s="2988" t="s">
        <v>3180</v>
      </c>
      <c r="F11" s="2989">
        <v>122.97</v>
      </c>
      <c r="G11" s="2990">
        <v>278</v>
      </c>
      <c r="H11" s="2992" t="s">
        <v>3181</v>
      </c>
      <c r="I11" s="2991" t="s">
        <v>3157</v>
      </c>
      <c r="J11" s="2954">
        <f t="shared" si="0"/>
        <v>9.27</v>
      </c>
      <c r="K11" s="2954">
        <f t="shared" si="1"/>
        <v>410227.91999999993</v>
      </c>
      <c r="N11" s="2995" t="s">
        <v>3362</v>
      </c>
      <c r="O11" s="3434"/>
      <c r="P11" s="2996">
        <v>4194</v>
      </c>
      <c r="Q11" s="3429" t="s">
        <v>3361</v>
      </c>
      <c r="R11" s="3430"/>
      <c r="S11" s="3003">
        <f>(109.6*2+115.08*2+120.84*2+126.89*2)/8</f>
        <v>118.10249999999999</v>
      </c>
      <c r="T11" s="2998" t="s">
        <v>3157</v>
      </c>
      <c r="U11">
        <f t="shared" si="2"/>
        <v>3.94</v>
      </c>
      <c r="V11" s="3010">
        <f t="shared" si="3"/>
        <v>5943862.6199999992</v>
      </c>
    </row>
    <row r="12" spans="1:22">
      <c r="A12" s="2988" t="s">
        <v>3151</v>
      </c>
      <c r="B12" s="2988" t="s">
        <v>3152</v>
      </c>
      <c r="C12" s="2988" t="s">
        <v>3175</v>
      </c>
      <c r="D12" s="2988" t="s">
        <v>3182</v>
      </c>
      <c r="E12" s="2988" t="s">
        <v>3183</v>
      </c>
      <c r="F12" s="2989">
        <v>363.99</v>
      </c>
      <c r="G12" s="2990">
        <v>300</v>
      </c>
      <c r="H12" s="2988" t="s">
        <v>3184</v>
      </c>
      <c r="I12" s="2991" t="s">
        <v>3157</v>
      </c>
      <c r="J12" s="2954">
        <f t="shared" si="0"/>
        <v>10</v>
      </c>
      <c r="K12" s="2954">
        <f t="shared" si="1"/>
        <v>1310364</v>
      </c>
      <c r="P12" s="3011">
        <f>SUM(P4:P11)</f>
        <v>6143.41</v>
      </c>
      <c r="V12" s="3010">
        <f>SUM(V4:V11)</f>
        <v>14691863.764800001</v>
      </c>
    </row>
    <row r="13" spans="1:22">
      <c r="A13" s="2988" t="s">
        <v>3151</v>
      </c>
      <c r="B13" s="2988" t="s">
        <v>3152</v>
      </c>
      <c r="C13" s="2988" t="s">
        <v>3175</v>
      </c>
      <c r="D13" s="2988" t="s">
        <v>3185</v>
      </c>
      <c r="E13" s="2988" t="s">
        <v>3186</v>
      </c>
      <c r="F13" s="2989">
        <v>268.42</v>
      </c>
      <c r="G13" s="2990">
        <v>300</v>
      </c>
      <c r="H13" s="2988" t="s">
        <v>3184</v>
      </c>
      <c r="I13" s="2991" t="s">
        <v>3157</v>
      </c>
      <c r="J13" s="2954">
        <f t="shared" si="0"/>
        <v>10</v>
      </c>
      <c r="K13" s="2954">
        <f t="shared" si="1"/>
        <v>966312</v>
      </c>
      <c r="N13" s="3009" t="s">
        <v>3368</v>
      </c>
    </row>
    <row r="14" spans="1:22">
      <c r="A14" s="2988" t="s">
        <v>3151</v>
      </c>
      <c r="B14" s="2988" t="s">
        <v>3152</v>
      </c>
      <c r="C14" s="2988" t="s">
        <v>3187</v>
      </c>
      <c r="D14" s="2988" t="s">
        <v>3188</v>
      </c>
      <c r="E14" s="2988" t="s">
        <v>3189</v>
      </c>
      <c r="F14" s="2989">
        <v>1624.12</v>
      </c>
      <c r="G14" s="2990">
        <v>285</v>
      </c>
      <c r="H14" s="2988" t="s">
        <v>3190</v>
      </c>
      <c r="I14" s="2991" t="s">
        <v>3157</v>
      </c>
      <c r="J14" s="2954">
        <f t="shared" si="0"/>
        <v>9.5</v>
      </c>
      <c r="K14" s="2954">
        <f t="shared" si="1"/>
        <v>5554490.3999999994</v>
      </c>
      <c r="N14" s="3009" t="s">
        <v>3369</v>
      </c>
      <c r="O14" s="3006">
        <v>45777</v>
      </c>
    </row>
    <row r="15" spans="1:22">
      <c r="A15" s="2988" t="s">
        <v>3151</v>
      </c>
      <c r="B15" s="2988" t="s">
        <v>3152</v>
      </c>
      <c r="C15" s="2988" t="s">
        <v>3191</v>
      </c>
      <c r="D15" s="2988" t="s">
        <v>3192</v>
      </c>
      <c r="E15" s="2988" t="s">
        <v>3189</v>
      </c>
      <c r="F15" s="2989">
        <v>1614.8</v>
      </c>
      <c r="G15" s="2990">
        <v>285</v>
      </c>
      <c r="H15" s="2988" t="s">
        <v>3193</v>
      </c>
      <c r="I15" s="2991" t="s">
        <v>3157</v>
      </c>
      <c r="J15" s="2954">
        <f t="shared" si="0"/>
        <v>9.5</v>
      </c>
      <c r="K15" s="2954">
        <f t="shared" si="1"/>
        <v>5522616</v>
      </c>
      <c r="N15" s="3009" t="s">
        <v>3372</v>
      </c>
      <c r="O15" s="3010">
        <f>V4+V5+V7+V8+V9+V10+V11</f>
        <v>12759863.764799999</v>
      </c>
      <c r="Q15" s="3004" t="s">
        <v>3373</v>
      </c>
      <c r="R15" s="3083">
        <f>P4+P5+P8+P9+P10</f>
        <v>1303.54</v>
      </c>
    </row>
    <row r="16" spans="1:22">
      <c r="A16" s="2988" t="s">
        <v>3151</v>
      </c>
      <c r="B16" s="2988" t="s">
        <v>3152</v>
      </c>
      <c r="C16" s="2988" t="s">
        <v>3194</v>
      </c>
      <c r="D16" s="2988" t="s">
        <v>3195</v>
      </c>
      <c r="E16" s="2988" t="s">
        <v>3196</v>
      </c>
      <c r="F16" s="2989">
        <v>3183.02</v>
      </c>
      <c r="G16" s="2990">
        <v>117.00000000000001</v>
      </c>
      <c r="H16" s="2988" t="s">
        <v>3197</v>
      </c>
      <c r="I16" s="2991" t="s">
        <v>3157</v>
      </c>
      <c r="J16" s="2954">
        <f t="shared" si="0"/>
        <v>3.9</v>
      </c>
      <c r="K16" s="2954">
        <f t="shared" si="1"/>
        <v>4468960.08</v>
      </c>
      <c r="N16" s="3009" t="s">
        <v>3366</v>
      </c>
      <c r="O16" s="3011">
        <f>P4+P5+P7+P8+P9+P10+P11</f>
        <v>5643.41</v>
      </c>
      <c r="Q16" s="3004" t="s">
        <v>3374</v>
      </c>
      <c r="R16" s="3083">
        <f>P11+P7</f>
        <v>4339.87</v>
      </c>
    </row>
    <row r="17" spans="1:15">
      <c r="A17" s="2988" t="s">
        <v>3151</v>
      </c>
      <c r="B17" s="2988" t="s">
        <v>3152</v>
      </c>
      <c r="C17" s="2988" t="s">
        <v>3198</v>
      </c>
      <c r="D17" s="2988" t="s">
        <v>3199</v>
      </c>
      <c r="E17" s="2988" t="s">
        <v>3200</v>
      </c>
      <c r="F17" s="2989">
        <v>901.48</v>
      </c>
      <c r="G17" s="2990">
        <v>300</v>
      </c>
      <c r="H17" s="2988" t="s">
        <v>3201</v>
      </c>
      <c r="I17" s="2991" t="s">
        <v>3157</v>
      </c>
      <c r="J17" s="2954">
        <f t="shared" si="0"/>
        <v>10</v>
      </c>
      <c r="K17" s="2954">
        <f t="shared" si="1"/>
        <v>3245328</v>
      </c>
      <c r="N17" s="3009" t="s">
        <v>3367</v>
      </c>
      <c r="O17">
        <f>ROUND(O15/O16/365,2)</f>
        <v>6.19</v>
      </c>
    </row>
    <row r="18" spans="1:15">
      <c r="A18" s="2988" t="s">
        <v>3151</v>
      </c>
      <c r="B18" s="2988" t="s">
        <v>3152</v>
      </c>
      <c r="C18" s="2988" t="s">
        <v>3202</v>
      </c>
      <c r="D18" s="2988" t="s">
        <v>3203</v>
      </c>
      <c r="E18" s="2993" t="s">
        <v>3204</v>
      </c>
      <c r="F18" s="2989">
        <v>177.19</v>
      </c>
      <c r="G18" s="2990">
        <v>290</v>
      </c>
      <c r="H18" s="2988" t="s">
        <v>3205</v>
      </c>
      <c r="I18" s="2991" t="s">
        <v>3157</v>
      </c>
      <c r="J18" s="2954">
        <f t="shared" si="0"/>
        <v>9.67</v>
      </c>
      <c r="K18" s="2954">
        <f t="shared" si="1"/>
        <v>616621.19999999995</v>
      </c>
    </row>
    <row r="19" spans="1:15">
      <c r="A19" s="2988" t="s">
        <v>3151</v>
      </c>
      <c r="B19" s="2988" t="s">
        <v>3206</v>
      </c>
      <c r="C19" s="2988" t="s">
        <v>3207</v>
      </c>
      <c r="D19" s="2988" t="s">
        <v>3208</v>
      </c>
      <c r="E19" s="2988" t="s">
        <v>3209</v>
      </c>
      <c r="F19" s="2989">
        <v>725.29</v>
      </c>
      <c r="G19" s="2990">
        <v>290</v>
      </c>
      <c r="H19" s="2992" t="s">
        <v>3210</v>
      </c>
      <c r="I19" s="2991" t="s">
        <v>3157</v>
      </c>
      <c r="J19" s="2954">
        <f t="shared" si="0"/>
        <v>9.67</v>
      </c>
      <c r="K19" s="2954">
        <f t="shared" si="1"/>
        <v>2524009.1999999997</v>
      </c>
      <c r="N19" s="3009"/>
    </row>
    <row r="20" spans="1:15">
      <c r="A20" s="2988" t="s">
        <v>3151</v>
      </c>
      <c r="B20" s="2988" t="s">
        <v>3152</v>
      </c>
      <c r="C20" s="2988" t="s">
        <v>3211</v>
      </c>
      <c r="D20" s="2988" t="s">
        <v>3212</v>
      </c>
      <c r="E20" s="2988" t="s">
        <v>3213</v>
      </c>
      <c r="F20" s="2989">
        <v>1487.53</v>
      </c>
      <c r="G20" s="2990">
        <v>300</v>
      </c>
      <c r="H20" s="2988" t="s">
        <v>3214</v>
      </c>
      <c r="I20" s="2991" t="s">
        <v>3157</v>
      </c>
      <c r="J20" s="2954">
        <f t="shared" si="0"/>
        <v>10</v>
      </c>
      <c r="K20" s="2954">
        <f t="shared" si="1"/>
        <v>5355108</v>
      </c>
      <c r="N20" s="3009"/>
      <c r="O20" s="3006"/>
    </row>
    <row r="21" spans="1:15">
      <c r="A21" s="2988" t="s">
        <v>3151</v>
      </c>
      <c r="B21" s="2988" t="s">
        <v>3152</v>
      </c>
      <c r="C21" s="2988" t="s">
        <v>3215</v>
      </c>
      <c r="D21" s="2988" t="s">
        <v>3216</v>
      </c>
      <c r="E21" s="2988" t="s">
        <v>3217</v>
      </c>
      <c r="F21" s="2989">
        <v>831.24</v>
      </c>
      <c r="G21" s="2990">
        <v>290</v>
      </c>
      <c r="H21" s="2988" t="s">
        <v>3218</v>
      </c>
      <c r="I21" s="2991" t="s">
        <v>3157</v>
      </c>
      <c r="J21" s="2954">
        <f t="shared" si="0"/>
        <v>9.67</v>
      </c>
      <c r="K21" s="2954">
        <f t="shared" si="1"/>
        <v>2892715.2</v>
      </c>
      <c r="N21" s="3009"/>
      <c r="O21" s="3010"/>
    </row>
    <row r="22" spans="1:15">
      <c r="A22" s="2988" t="s">
        <v>3151</v>
      </c>
      <c r="B22" s="2988" t="s">
        <v>3152</v>
      </c>
      <c r="C22" s="2988" t="s">
        <v>3219</v>
      </c>
      <c r="D22" s="2988" t="s">
        <v>3220</v>
      </c>
      <c r="E22" s="2988" t="s">
        <v>3221</v>
      </c>
      <c r="F22" s="2989">
        <v>808.78</v>
      </c>
      <c r="G22" s="2990">
        <v>280</v>
      </c>
      <c r="H22" s="2988" t="s">
        <v>3222</v>
      </c>
      <c r="I22" s="2991" t="s">
        <v>3157</v>
      </c>
      <c r="J22" s="2954">
        <f t="shared" si="0"/>
        <v>9.33</v>
      </c>
      <c r="K22" s="2954">
        <f t="shared" si="1"/>
        <v>2717500.8</v>
      </c>
    </row>
    <row r="23" spans="1:15">
      <c r="A23" s="2988" t="s">
        <v>3151</v>
      </c>
      <c r="B23" s="2988" t="s">
        <v>3223</v>
      </c>
      <c r="C23" s="2988" t="s">
        <v>3224</v>
      </c>
      <c r="D23" s="2988" t="s">
        <v>3225</v>
      </c>
      <c r="E23" s="2988" t="s">
        <v>3226</v>
      </c>
      <c r="F23" s="2989">
        <v>237.48</v>
      </c>
      <c r="G23" s="2990">
        <v>300</v>
      </c>
      <c r="H23" s="2988" t="s">
        <v>3227</v>
      </c>
      <c r="I23" s="2991" t="s">
        <v>3157</v>
      </c>
      <c r="J23" s="2954">
        <f t="shared" si="0"/>
        <v>10</v>
      </c>
      <c r="K23" s="2954">
        <f t="shared" si="1"/>
        <v>854928</v>
      </c>
    </row>
    <row r="24" spans="1:15">
      <c r="A24" s="2988" t="s">
        <v>3151</v>
      </c>
      <c r="B24" s="2988" t="s">
        <v>3223</v>
      </c>
      <c r="C24" s="2988" t="s">
        <v>3224</v>
      </c>
      <c r="D24" s="2988" t="s">
        <v>3228</v>
      </c>
      <c r="E24" s="2993" t="s">
        <v>3229</v>
      </c>
      <c r="F24" s="2989">
        <v>337.26</v>
      </c>
      <c r="G24" s="2990">
        <v>362</v>
      </c>
      <c r="H24" s="2988" t="s">
        <v>3230</v>
      </c>
      <c r="I24" s="2991" t="s">
        <v>3231</v>
      </c>
      <c r="J24" s="2954">
        <f t="shared" si="0"/>
        <v>12.07</v>
      </c>
      <c r="K24" s="2954">
        <f t="shared" si="1"/>
        <v>1465057.44</v>
      </c>
    </row>
    <row r="25" spans="1:15">
      <c r="A25" s="2988" t="s">
        <v>3151</v>
      </c>
      <c r="B25" s="2988" t="s">
        <v>3223</v>
      </c>
      <c r="C25" s="2988" t="s">
        <v>3153</v>
      </c>
      <c r="D25" s="2988" t="s">
        <v>3232</v>
      </c>
      <c r="E25" s="2988" t="s">
        <v>3233</v>
      </c>
      <c r="F25" s="2994">
        <v>340</v>
      </c>
      <c r="G25" s="2990">
        <v>285</v>
      </c>
      <c r="H25" s="2988" t="s">
        <v>3234</v>
      </c>
      <c r="I25" s="2991" t="s">
        <v>3235</v>
      </c>
      <c r="J25" s="2954">
        <f t="shared" si="0"/>
        <v>9.5</v>
      </c>
      <c r="K25" s="2954">
        <f t="shared" si="1"/>
        <v>1162800</v>
      </c>
    </row>
    <row r="26" spans="1:15">
      <c r="A26" s="2988" t="s">
        <v>3151</v>
      </c>
      <c r="B26" s="2988" t="s">
        <v>3223</v>
      </c>
      <c r="C26" s="2988" t="s">
        <v>3153</v>
      </c>
      <c r="D26" s="2988" t="s">
        <v>3236</v>
      </c>
      <c r="E26" s="2988" t="s">
        <v>3237</v>
      </c>
      <c r="F26" s="2989">
        <v>385.42</v>
      </c>
      <c r="G26" s="2990">
        <v>290</v>
      </c>
      <c r="H26" s="2988" t="s">
        <v>3238</v>
      </c>
      <c r="I26" s="2991" t="s">
        <v>3157</v>
      </c>
      <c r="J26" s="2954">
        <f t="shared" si="0"/>
        <v>9.67</v>
      </c>
      <c r="K26" s="2954">
        <f t="shared" si="1"/>
        <v>1341261.6000000001</v>
      </c>
    </row>
    <row r="27" spans="1:15">
      <c r="A27" s="2988" t="s">
        <v>3151</v>
      </c>
      <c r="B27" s="2988" t="s">
        <v>3223</v>
      </c>
      <c r="C27" s="2988" t="s">
        <v>3158</v>
      </c>
      <c r="D27" s="2988" t="s">
        <v>3239</v>
      </c>
      <c r="E27" s="2988" t="s">
        <v>3240</v>
      </c>
      <c r="F27" s="2989">
        <v>508.59</v>
      </c>
      <c r="G27" s="2990">
        <v>302</v>
      </c>
      <c r="H27" s="2988" t="s">
        <v>3241</v>
      </c>
      <c r="I27" s="2991" t="s">
        <v>3157</v>
      </c>
      <c r="J27" s="2954">
        <f t="shared" si="0"/>
        <v>10.07</v>
      </c>
      <c r="K27" s="2954">
        <f t="shared" si="1"/>
        <v>1843130.16</v>
      </c>
    </row>
    <row r="28" spans="1:15">
      <c r="A28" s="2988" t="s">
        <v>3151</v>
      </c>
      <c r="B28" s="2988" t="s">
        <v>3223</v>
      </c>
      <c r="C28" s="2988" t="s">
        <v>3158</v>
      </c>
      <c r="D28" s="2988" t="s">
        <v>3242</v>
      </c>
      <c r="E28" s="2988" t="s">
        <v>3243</v>
      </c>
      <c r="F28" s="2989">
        <v>209.53</v>
      </c>
      <c r="G28" s="2990">
        <v>280</v>
      </c>
      <c r="H28" s="2988" t="s">
        <v>3244</v>
      </c>
      <c r="I28" s="2991" t="s">
        <v>3245</v>
      </c>
      <c r="J28" s="2954">
        <f t="shared" si="0"/>
        <v>9.33</v>
      </c>
      <c r="K28" s="2954">
        <f t="shared" si="1"/>
        <v>704020.8</v>
      </c>
    </row>
    <row r="29" spans="1:15">
      <c r="A29" s="2988" t="s">
        <v>3151</v>
      </c>
      <c r="B29" s="2988" t="s">
        <v>3223</v>
      </c>
      <c r="C29" s="2988" t="s">
        <v>3158</v>
      </c>
      <c r="D29" s="2988" t="s">
        <v>3246</v>
      </c>
      <c r="E29" s="2988" t="s">
        <v>3247</v>
      </c>
      <c r="F29" s="2989">
        <v>201.36</v>
      </c>
      <c r="G29" s="2990">
        <v>280</v>
      </c>
      <c r="H29" s="2988" t="s">
        <v>3248</v>
      </c>
      <c r="I29" s="2991" t="s">
        <v>3245</v>
      </c>
      <c r="J29" s="2954">
        <f t="shared" si="0"/>
        <v>9.33</v>
      </c>
      <c r="K29" s="2954">
        <f t="shared" si="1"/>
        <v>676569.60000000009</v>
      </c>
    </row>
    <row r="30" spans="1:15">
      <c r="A30" s="2988" t="s">
        <v>3151</v>
      </c>
      <c r="B30" s="2988" t="s">
        <v>3223</v>
      </c>
      <c r="C30" s="2988" t="s">
        <v>3162</v>
      </c>
      <c r="D30" s="2988" t="s">
        <v>3249</v>
      </c>
      <c r="E30" s="2988" t="s">
        <v>3250</v>
      </c>
      <c r="F30" s="2989">
        <v>553.58000000000004</v>
      </c>
      <c r="G30" s="2990">
        <v>312</v>
      </c>
      <c r="H30" s="2988" t="s">
        <v>3251</v>
      </c>
      <c r="I30" s="2991" t="s">
        <v>3157</v>
      </c>
      <c r="J30" s="2954">
        <f t="shared" si="0"/>
        <v>10.4</v>
      </c>
      <c r="K30" s="2954">
        <f t="shared" si="1"/>
        <v>2072603.5200000003</v>
      </c>
    </row>
    <row r="31" spans="1:15">
      <c r="A31" s="2988" t="s">
        <v>3151</v>
      </c>
      <c r="B31" s="2988" t="s">
        <v>3223</v>
      </c>
      <c r="C31" s="2988" t="s">
        <v>3162</v>
      </c>
      <c r="D31" s="2988" t="s">
        <v>3252</v>
      </c>
      <c r="E31" s="2988" t="s">
        <v>3253</v>
      </c>
      <c r="F31" s="2989">
        <v>217.27</v>
      </c>
      <c r="G31" s="2990">
        <v>280</v>
      </c>
      <c r="H31" s="2988" t="s">
        <v>3254</v>
      </c>
      <c r="I31" s="2991" t="s">
        <v>3157</v>
      </c>
      <c r="J31" s="2954">
        <f t="shared" si="0"/>
        <v>9.33</v>
      </c>
      <c r="K31" s="2954">
        <f t="shared" si="1"/>
        <v>730027.20000000007</v>
      </c>
    </row>
    <row r="32" spans="1:15">
      <c r="A32" s="2988" t="s">
        <v>3151</v>
      </c>
      <c r="B32" s="2988" t="s">
        <v>3223</v>
      </c>
      <c r="C32" s="2988" t="s">
        <v>3162</v>
      </c>
      <c r="D32" s="2988" t="s">
        <v>3255</v>
      </c>
      <c r="E32" s="2988" t="s">
        <v>3256</v>
      </c>
      <c r="F32" s="2989">
        <v>338.01</v>
      </c>
      <c r="G32" s="2990">
        <v>310</v>
      </c>
      <c r="H32" s="2988" t="s">
        <v>3257</v>
      </c>
      <c r="I32" s="2991" t="s">
        <v>3157</v>
      </c>
      <c r="J32" s="2954">
        <f t="shared" si="0"/>
        <v>10.33</v>
      </c>
      <c r="K32" s="2954">
        <f t="shared" si="1"/>
        <v>1257397.2</v>
      </c>
    </row>
    <row r="33" spans="1:11">
      <c r="A33" s="2988" t="s">
        <v>3151</v>
      </c>
      <c r="B33" s="2988" t="s">
        <v>3223</v>
      </c>
      <c r="C33" s="2988" t="s">
        <v>3162</v>
      </c>
      <c r="D33" s="2988" t="s">
        <v>3258</v>
      </c>
      <c r="E33" s="2988" t="s">
        <v>3259</v>
      </c>
      <c r="F33" s="2989">
        <v>571.98</v>
      </c>
      <c r="G33" s="2990">
        <v>285</v>
      </c>
      <c r="H33" s="2988" t="s">
        <v>3260</v>
      </c>
      <c r="I33" s="2991" t="s">
        <v>3157</v>
      </c>
      <c r="J33" s="2954">
        <f t="shared" si="0"/>
        <v>9.5</v>
      </c>
      <c r="K33" s="2954">
        <f t="shared" si="1"/>
        <v>1956171.6</v>
      </c>
    </row>
    <row r="34" spans="1:11">
      <c r="A34" s="2988" t="s">
        <v>3151</v>
      </c>
      <c r="B34" s="2988" t="s">
        <v>3223</v>
      </c>
      <c r="C34" s="2988" t="s">
        <v>3169</v>
      </c>
      <c r="D34" s="2988" t="s">
        <v>3261</v>
      </c>
      <c r="E34" s="2988" t="s">
        <v>3262</v>
      </c>
      <c r="F34" s="2989">
        <v>1671.52</v>
      </c>
      <c r="G34" s="2990">
        <v>275</v>
      </c>
      <c r="H34" s="2988" t="s">
        <v>3263</v>
      </c>
      <c r="I34" s="2991" t="s">
        <v>3157</v>
      </c>
      <c r="J34" s="2954">
        <f t="shared" si="0"/>
        <v>9.17</v>
      </c>
      <c r="K34" s="2954">
        <f t="shared" si="1"/>
        <v>5516016</v>
      </c>
    </row>
    <row r="35" spans="1:11">
      <c r="A35" s="2988" t="s">
        <v>3151</v>
      </c>
      <c r="B35" s="2988" t="s">
        <v>3223</v>
      </c>
      <c r="C35" s="2988" t="s">
        <v>3264</v>
      </c>
      <c r="D35" s="2988" t="s">
        <v>3265</v>
      </c>
      <c r="E35" s="2993" t="s">
        <v>3266</v>
      </c>
      <c r="F35" s="2989">
        <v>625.30999999999995</v>
      </c>
      <c r="G35" s="2990">
        <v>292</v>
      </c>
      <c r="H35" s="2988" t="s">
        <v>3267</v>
      </c>
      <c r="I35" s="2991" t="s">
        <v>3157</v>
      </c>
      <c r="J35" s="2954">
        <f t="shared" si="0"/>
        <v>9.73</v>
      </c>
      <c r="K35" s="2954">
        <f t="shared" si="1"/>
        <v>2191086.2399999998</v>
      </c>
    </row>
    <row r="36" spans="1:11">
      <c r="A36" s="2988" t="s">
        <v>3151</v>
      </c>
      <c r="B36" s="2988" t="s">
        <v>3223</v>
      </c>
      <c r="C36" s="2988" t="s">
        <v>3264</v>
      </c>
      <c r="D36" s="2988" t="s">
        <v>3268</v>
      </c>
      <c r="E36" s="2988" t="s">
        <v>3269</v>
      </c>
      <c r="F36" s="2989">
        <v>321.07</v>
      </c>
      <c r="G36" s="2990">
        <v>320</v>
      </c>
      <c r="H36" s="2988" t="s">
        <v>3270</v>
      </c>
      <c r="I36" s="2991" t="s">
        <v>3157</v>
      </c>
      <c r="J36" s="2954">
        <f t="shared" si="0"/>
        <v>10.67</v>
      </c>
      <c r="K36" s="2954">
        <f t="shared" si="1"/>
        <v>1232908.7999999998</v>
      </c>
    </row>
    <row r="37" spans="1:11">
      <c r="A37" s="2988" t="s">
        <v>3151</v>
      </c>
      <c r="B37" s="2988" t="s">
        <v>3223</v>
      </c>
      <c r="C37" s="2988" t="s">
        <v>3175</v>
      </c>
      <c r="D37" s="2988" t="s">
        <v>3271</v>
      </c>
      <c r="E37" s="2988" t="s">
        <v>3272</v>
      </c>
      <c r="F37" s="2989">
        <v>206</v>
      </c>
      <c r="G37" s="2990">
        <v>290</v>
      </c>
      <c r="H37" s="2988" t="s">
        <v>3273</v>
      </c>
      <c r="I37" s="2991" t="s">
        <v>3157</v>
      </c>
      <c r="J37" s="2954">
        <f t="shared" si="0"/>
        <v>9.67</v>
      </c>
      <c r="K37" s="2954">
        <f t="shared" si="1"/>
        <v>716880</v>
      </c>
    </row>
    <row r="38" spans="1:11">
      <c r="A38" s="2988" t="s">
        <v>3151</v>
      </c>
      <c r="B38" s="2988" t="s">
        <v>3223</v>
      </c>
      <c r="C38" s="2988" t="s">
        <v>3175</v>
      </c>
      <c r="D38" s="2988" t="s">
        <v>3274</v>
      </c>
      <c r="E38" s="2988" t="s">
        <v>3275</v>
      </c>
      <c r="F38" s="2989">
        <v>242.27</v>
      </c>
      <c r="G38" s="2990">
        <v>320</v>
      </c>
      <c r="H38" s="2988" t="s">
        <v>3276</v>
      </c>
      <c r="I38" s="2991" t="s">
        <v>3235</v>
      </c>
      <c r="J38" s="2954">
        <f t="shared" si="0"/>
        <v>10.67</v>
      </c>
      <c r="K38" s="2954">
        <f t="shared" si="1"/>
        <v>930316.80000000005</v>
      </c>
    </row>
    <row r="39" spans="1:11">
      <c r="A39" s="2988" t="s">
        <v>3151</v>
      </c>
      <c r="B39" s="2988" t="s">
        <v>3223</v>
      </c>
      <c r="C39" s="2988" t="s">
        <v>3175</v>
      </c>
      <c r="D39" s="2988" t="s">
        <v>3277</v>
      </c>
      <c r="E39" s="2988" t="s">
        <v>3278</v>
      </c>
      <c r="F39" s="2989">
        <v>755.75</v>
      </c>
      <c r="G39" s="2990">
        <v>310</v>
      </c>
      <c r="H39" s="2988" t="s">
        <v>3279</v>
      </c>
      <c r="I39" s="2991" t="s">
        <v>3157</v>
      </c>
      <c r="J39" s="2954">
        <f t="shared" si="0"/>
        <v>10.33</v>
      </c>
      <c r="K39" s="2954">
        <f t="shared" si="1"/>
        <v>2811390</v>
      </c>
    </row>
    <row r="40" spans="1:11">
      <c r="A40" s="2988" t="s">
        <v>3151</v>
      </c>
      <c r="B40" s="2988" t="s">
        <v>3223</v>
      </c>
      <c r="C40" s="2988" t="s">
        <v>3191</v>
      </c>
      <c r="D40" s="2988" t="s">
        <v>3280</v>
      </c>
      <c r="E40" s="2988" t="s">
        <v>3281</v>
      </c>
      <c r="F40" s="2989">
        <v>201.77</v>
      </c>
      <c r="G40" s="2990">
        <v>290</v>
      </c>
      <c r="H40" s="2988" t="s">
        <v>3282</v>
      </c>
      <c r="I40" s="2991" t="s">
        <v>3157</v>
      </c>
      <c r="J40" s="2954">
        <f t="shared" si="0"/>
        <v>9.67</v>
      </c>
      <c r="K40" s="2954">
        <f t="shared" si="1"/>
        <v>702159.60000000009</v>
      </c>
    </row>
    <row r="41" spans="1:11">
      <c r="A41" s="2988" t="s">
        <v>3151</v>
      </c>
      <c r="B41" s="2988" t="s">
        <v>3223</v>
      </c>
      <c r="C41" s="2988" t="s">
        <v>3191</v>
      </c>
      <c r="D41" s="2988" t="s">
        <v>3283</v>
      </c>
      <c r="E41" s="2988" t="s">
        <v>3281</v>
      </c>
      <c r="F41" s="2989">
        <v>242.6</v>
      </c>
      <c r="G41" s="2990">
        <v>290</v>
      </c>
      <c r="H41" s="2988" t="s">
        <v>3284</v>
      </c>
      <c r="I41" s="2991" t="s">
        <v>3157</v>
      </c>
      <c r="J41" s="2954">
        <f t="shared" si="0"/>
        <v>9.67</v>
      </c>
      <c r="K41" s="2954">
        <f t="shared" si="1"/>
        <v>844248</v>
      </c>
    </row>
    <row r="42" spans="1:11">
      <c r="A42" s="2988" t="s">
        <v>3151</v>
      </c>
      <c r="B42" s="2988" t="s">
        <v>3223</v>
      </c>
      <c r="C42" s="2988" t="s">
        <v>3191</v>
      </c>
      <c r="D42" s="2988" t="s">
        <v>3285</v>
      </c>
      <c r="E42" s="2988" t="s">
        <v>3286</v>
      </c>
      <c r="F42" s="2989">
        <v>435.15</v>
      </c>
      <c r="G42" s="2990">
        <v>280</v>
      </c>
      <c r="H42" s="2988" t="s">
        <v>3287</v>
      </c>
      <c r="I42" s="2991" t="s">
        <v>3157</v>
      </c>
      <c r="J42" s="2954">
        <f t="shared" si="0"/>
        <v>9.33</v>
      </c>
      <c r="K42" s="2954">
        <f t="shared" si="1"/>
        <v>1462104</v>
      </c>
    </row>
    <row r="43" spans="1:11">
      <c r="A43" s="2988" t="s">
        <v>3151</v>
      </c>
      <c r="B43" s="2988" t="s">
        <v>3223</v>
      </c>
      <c r="C43" s="2988" t="s">
        <v>3191</v>
      </c>
      <c r="D43" s="2988" t="s">
        <v>3288</v>
      </c>
      <c r="E43" s="2988" t="s">
        <v>3281</v>
      </c>
      <c r="F43" s="2989">
        <v>311.05</v>
      </c>
      <c r="G43" s="2990">
        <v>290</v>
      </c>
      <c r="H43" s="2988" t="s">
        <v>3289</v>
      </c>
      <c r="I43" s="2991" t="s">
        <v>3157</v>
      </c>
      <c r="J43" s="2954">
        <f t="shared" si="0"/>
        <v>9.67</v>
      </c>
      <c r="K43" s="2954">
        <f t="shared" si="1"/>
        <v>1082454</v>
      </c>
    </row>
    <row r="44" spans="1:11">
      <c r="A44" s="2988" t="s">
        <v>3151</v>
      </c>
      <c r="B44" s="2988" t="s">
        <v>3223</v>
      </c>
      <c r="C44" s="2988" t="s">
        <v>3194</v>
      </c>
      <c r="D44" s="2988" t="s">
        <v>3290</v>
      </c>
      <c r="E44" s="2988" t="s">
        <v>3291</v>
      </c>
      <c r="F44" s="2989">
        <v>854.58</v>
      </c>
      <c r="G44" s="2990">
        <v>278</v>
      </c>
      <c r="H44" s="2988" t="s">
        <v>3292</v>
      </c>
      <c r="I44" s="2991" t="s">
        <v>3157</v>
      </c>
      <c r="J44" s="2954">
        <f t="shared" si="0"/>
        <v>9.27</v>
      </c>
      <c r="K44" s="2954">
        <f t="shared" si="1"/>
        <v>2850878.8800000004</v>
      </c>
    </row>
    <row r="45" spans="1:11">
      <c r="A45" s="2988" t="s">
        <v>3151</v>
      </c>
      <c r="B45" s="2988" t="s">
        <v>3223</v>
      </c>
      <c r="C45" s="2988" t="s">
        <v>3194</v>
      </c>
      <c r="D45" s="2988" t="s">
        <v>3293</v>
      </c>
      <c r="E45" s="2988" t="s">
        <v>3294</v>
      </c>
      <c r="F45" s="2989">
        <v>431.05</v>
      </c>
      <c r="G45" s="2990">
        <v>295</v>
      </c>
      <c r="H45" s="2988" t="s">
        <v>3197</v>
      </c>
      <c r="I45" s="2991" t="s">
        <v>3157</v>
      </c>
      <c r="J45" s="2954">
        <f t="shared" si="0"/>
        <v>9.83</v>
      </c>
      <c r="K45" s="2954">
        <f t="shared" si="1"/>
        <v>1525917</v>
      </c>
    </row>
    <row r="46" spans="1:11">
      <c r="A46" s="2988" t="s">
        <v>3151</v>
      </c>
      <c r="B46" s="2988" t="s">
        <v>3223</v>
      </c>
      <c r="C46" s="2988" t="s">
        <v>3194</v>
      </c>
      <c r="D46" s="2988" t="s">
        <v>3295</v>
      </c>
      <c r="E46" s="2988" t="s">
        <v>3296</v>
      </c>
      <c r="F46" s="2989">
        <v>311.33</v>
      </c>
      <c r="G46" s="2990">
        <v>285</v>
      </c>
      <c r="H46" s="2988" t="s">
        <v>3297</v>
      </c>
      <c r="I46" s="2991" t="s">
        <v>3157</v>
      </c>
      <c r="J46" s="2954">
        <f t="shared" si="0"/>
        <v>9.5</v>
      </c>
      <c r="K46" s="2954">
        <f t="shared" si="1"/>
        <v>1064748.5999999999</v>
      </c>
    </row>
    <row r="47" spans="1:11">
      <c r="A47" s="2988" t="s">
        <v>3151</v>
      </c>
      <c r="B47" s="2988" t="s">
        <v>3223</v>
      </c>
      <c r="C47" s="2988" t="s">
        <v>3298</v>
      </c>
      <c r="D47" s="2988" t="s">
        <v>3299</v>
      </c>
      <c r="E47" s="2988" t="s">
        <v>3300</v>
      </c>
      <c r="F47" s="2989">
        <v>668.98</v>
      </c>
      <c r="G47" s="2990">
        <v>260</v>
      </c>
      <c r="H47" s="2988" t="s">
        <v>3301</v>
      </c>
      <c r="I47" s="2991" t="s">
        <v>3302</v>
      </c>
      <c r="J47" s="2954">
        <f t="shared" si="0"/>
        <v>8.67</v>
      </c>
      <c r="K47" s="2954">
        <f t="shared" si="1"/>
        <v>2087217.6</v>
      </c>
    </row>
    <row r="48" spans="1:11">
      <c r="A48" s="2988" t="s">
        <v>3151</v>
      </c>
      <c r="B48" s="2988" t="s">
        <v>3223</v>
      </c>
      <c r="C48" s="2988" t="s">
        <v>3303</v>
      </c>
      <c r="D48" s="2988" t="s">
        <v>3304</v>
      </c>
      <c r="E48" s="2988" t="s">
        <v>3305</v>
      </c>
      <c r="F48" s="2989">
        <v>1562.17</v>
      </c>
      <c r="G48" s="2990">
        <v>280</v>
      </c>
      <c r="H48" s="2988" t="s">
        <v>3306</v>
      </c>
      <c r="I48" s="2991" t="s">
        <v>3157</v>
      </c>
      <c r="J48" s="2954">
        <f t="shared" si="0"/>
        <v>9.33</v>
      </c>
      <c r="K48" s="2954">
        <f t="shared" si="1"/>
        <v>5248891.2</v>
      </c>
    </row>
    <row r="49" spans="1:11">
      <c r="A49" s="2988" t="s">
        <v>3151</v>
      </c>
      <c r="B49" s="2988" t="s">
        <v>3223</v>
      </c>
      <c r="C49" s="2988" t="s">
        <v>3307</v>
      </c>
      <c r="D49" s="2988" t="s">
        <v>3308</v>
      </c>
      <c r="E49" s="2988" t="s">
        <v>3309</v>
      </c>
      <c r="F49" s="2989">
        <v>893.74</v>
      </c>
      <c r="G49" s="2990">
        <v>285</v>
      </c>
      <c r="H49" s="2988" t="s">
        <v>3310</v>
      </c>
      <c r="I49" s="2991" t="s">
        <v>3157</v>
      </c>
      <c r="J49" s="2954">
        <f t="shared" si="0"/>
        <v>9.5</v>
      </c>
      <c r="K49" s="2954">
        <f t="shared" si="1"/>
        <v>3056590.8</v>
      </c>
    </row>
    <row r="50" spans="1:11">
      <c r="A50" s="2988" t="s">
        <v>3151</v>
      </c>
      <c r="B50" s="2988" t="s">
        <v>3223</v>
      </c>
      <c r="C50" s="2988" t="s">
        <v>3307</v>
      </c>
      <c r="D50" s="2988" t="s">
        <v>3311</v>
      </c>
      <c r="E50" s="2988" t="s">
        <v>3312</v>
      </c>
      <c r="F50" s="2989">
        <v>417.01</v>
      </c>
      <c r="G50" s="2990">
        <v>285</v>
      </c>
      <c r="H50" s="2988" t="s">
        <v>3313</v>
      </c>
      <c r="I50" s="2991" t="s">
        <v>3157</v>
      </c>
      <c r="J50" s="2954">
        <f t="shared" si="0"/>
        <v>9.5</v>
      </c>
      <c r="K50" s="2954">
        <f t="shared" si="1"/>
        <v>1426174.2</v>
      </c>
    </row>
    <row r="51" spans="1:11">
      <c r="A51" s="2988" t="s">
        <v>3151</v>
      </c>
      <c r="B51" s="2988" t="s">
        <v>3223</v>
      </c>
      <c r="C51" s="2988" t="s">
        <v>3314</v>
      </c>
      <c r="D51" s="2988" t="s">
        <v>3315</v>
      </c>
      <c r="E51" s="2988" t="s">
        <v>3316</v>
      </c>
      <c r="F51" s="2989">
        <v>177.3</v>
      </c>
      <c r="G51" s="2990">
        <v>290</v>
      </c>
      <c r="H51" s="2988" t="s">
        <v>3317</v>
      </c>
      <c r="I51" s="2991" t="s">
        <v>3157</v>
      </c>
      <c r="J51" s="2954">
        <f t="shared" si="0"/>
        <v>9.67</v>
      </c>
      <c r="K51" s="2954">
        <f t="shared" si="1"/>
        <v>617004</v>
      </c>
    </row>
    <row r="52" spans="1:11">
      <c r="A52" s="2988" t="s">
        <v>3151</v>
      </c>
      <c r="B52" s="2988" t="s">
        <v>3223</v>
      </c>
      <c r="C52" s="2988" t="s">
        <v>3314</v>
      </c>
      <c r="D52" s="2988" t="s">
        <v>3318</v>
      </c>
      <c r="E52" s="2988" t="s">
        <v>3319</v>
      </c>
      <c r="F52" s="2989">
        <v>192.27</v>
      </c>
      <c r="G52" s="2990">
        <v>290</v>
      </c>
      <c r="H52" s="2988" t="s">
        <v>3317</v>
      </c>
      <c r="I52" s="2991" t="s">
        <v>3157</v>
      </c>
      <c r="J52" s="2954">
        <f t="shared" si="0"/>
        <v>9.67</v>
      </c>
      <c r="K52" s="2954">
        <f t="shared" si="1"/>
        <v>669099.60000000009</v>
      </c>
    </row>
    <row r="53" spans="1:11">
      <c r="A53" s="2988" t="s">
        <v>3151</v>
      </c>
      <c r="B53" s="2988" t="s">
        <v>3223</v>
      </c>
      <c r="C53" s="2988" t="s">
        <v>3314</v>
      </c>
      <c r="D53" s="2988" t="s">
        <v>3320</v>
      </c>
      <c r="E53" s="2988" t="s">
        <v>3321</v>
      </c>
      <c r="F53" s="2989">
        <v>672.57</v>
      </c>
      <c r="G53" s="2990">
        <v>280</v>
      </c>
      <c r="H53" s="2988" t="s">
        <v>3322</v>
      </c>
      <c r="I53" s="2991" t="s">
        <v>3157</v>
      </c>
      <c r="J53" s="2954">
        <f t="shared" si="0"/>
        <v>9.33</v>
      </c>
      <c r="K53" s="2954">
        <f t="shared" si="1"/>
        <v>2259835.2000000002</v>
      </c>
    </row>
    <row r="54" spans="1:11">
      <c r="A54" s="2988" t="s">
        <v>3151</v>
      </c>
      <c r="B54" s="2988" t="s">
        <v>3223</v>
      </c>
      <c r="C54" s="2988" t="s">
        <v>3314</v>
      </c>
      <c r="D54" s="2988" t="s">
        <v>3323</v>
      </c>
      <c r="E54" s="2988" t="s">
        <v>3324</v>
      </c>
      <c r="F54" s="2989">
        <v>459.63</v>
      </c>
      <c r="G54" s="2990">
        <v>290</v>
      </c>
      <c r="H54" s="2988" t="s">
        <v>3325</v>
      </c>
      <c r="I54" s="2991" t="s">
        <v>3157</v>
      </c>
      <c r="J54" s="2954">
        <f t="shared" si="0"/>
        <v>9.67</v>
      </c>
      <c r="K54" s="2954">
        <f t="shared" si="1"/>
        <v>1599512.4000000001</v>
      </c>
    </row>
    <row r="55" spans="1:11">
      <c r="A55" s="2988" t="s">
        <v>3151</v>
      </c>
      <c r="B55" s="2988" t="s">
        <v>3223</v>
      </c>
      <c r="C55" s="2988" t="s">
        <v>3211</v>
      </c>
      <c r="D55" s="2988" t="s">
        <v>3326</v>
      </c>
      <c r="E55" s="2988" t="s">
        <v>3327</v>
      </c>
      <c r="F55" s="2989">
        <v>1488.27</v>
      </c>
      <c r="G55" s="2990">
        <v>290</v>
      </c>
      <c r="H55" s="2988" t="s">
        <v>3328</v>
      </c>
      <c r="I55" s="2991" t="s">
        <v>3157</v>
      </c>
      <c r="J55" s="2954">
        <f t="shared" si="0"/>
        <v>9.67</v>
      </c>
      <c r="K55" s="2954">
        <f t="shared" si="1"/>
        <v>5179179.5999999996</v>
      </c>
    </row>
    <row r="56" spans="1:11">
      <c r="A56" s="2988" t="s">
        <v>3151</v>
      </c>
      <c r="B56" s="2988" t="s">
        <v>3223</v>
      </c>
      <c r="C56" s="2988" t="s">
        <v>3215</v>
      </c>
      <c r="D56" s="2988" t="s">
        <v>3329</v>
      </c>
      <c r="E56" s="2988" t="s">
        <v>3330</v>
      </c>
      <c r="F56" s="2989">
        <v>237.87</v>
      </c>
      <c r="G56" s="2990">
        <v>272</v>
      </c>
      <c r="H56" s="2988" t="s">
        <v>3331</v>
      </c>
      <c r="I56" s="2991" t="s">
        <v>3235</v>
      </c>
      <c r="J56" s="2954">
        <f t="shared" si="0"/>
        <v>9.07</v>
      </c>
      <c r="K56" s="2954">
        <f t="shared" si="1"/>
        <v>776407.67999999993</v>
      </c>
    </row>
    <row r="57" spans="1:11">
      <c r="A57" s="2988" t="s">
        <v>3151</v>
      </c>
      <c r="B57" s="2988" t="s">
        <v>3223</v>
      </c>
      <c r="C57" s="2988" t="s">
        <v>3219</v>
      </c>
      <c r="D57" s="2988" t="s">
        <v>3332</v>
      </c>
      <c r="E57" s="2988" t="s">
        <v>3333</v>
      </c>
      <c r="F57" s="2989">
        <v>809.18</v>
      </c>
      <c r="G57" s="2990">
        <v>307</v>
      </c>
      <c r="H57" s="2988" t="s">
        <v>3334</v>
      </c>
      <c r="I57" s="2991" t="s">
        <v>3157</v>
      </c>
      <c r="J57" s="2954">
        <f t="shared" si="0"/>
        <v>10.23</v>
      </c>
      <c r="K57" s="2954">
        <f t="shared" si="1"/>
        <v>2981019.1199999996</v>
      </c>
    </row>
    <row r="58" spans="1:11">
      <c r="A58" s="2988" t="s">
        <v>3151</v>
      </c>
      <c r="B58" s="2988" t="s">
        <v>3223</v>
      </c>
      <c r="C58" s="2988" t="s">
        <v>3335</v>
      </c>
      <c r="D58" s="2988" t="s">
        <v>3336</v>
      </c>
      <c r="E58" s="2988" t="s">
        <v>3337</v>
      </c>
      <c r="F58" s="2989">
        <v>689.25</v>
      </c>
      <c r="G58" s="2990">
        <v>172</v>
      </c>
      <c r="H58" s="2988" t="s">
        <v>3338</v>
      </c>
      <c r="I58" s="2991" t="s">
        <v>3157</v>
      </c>
      <c r="J58" s="2954">
        <f t="shared" si="0"/>
        <v>5.73</v>
      </c>
      <c r="K58" s="2954">
        <f t="shared" si="1"/>
        <v>1422612</v>
      </c>
    </row>
    <row r="59" spans="1:11">
      <c r="F59">
        <f>SUM(F4:F58)</f>
        <v>37501.99</v>
      </c>
      <c r="K59">
        <f>SUM(K4:K58)</f>
        <v>121131173.03999998</v>
      </c>
    </row>
    <row r="60" spans="1:11">
      <c r="A60" s="3005" t="s">
        <v>3110</v>
      </c>
    </row>
    <row r="61" spans="1:11">
      <c r="A61" s="3005" t="s">
        <v>3363</v>
      </c>
      <c r="B61" s="3006">
        <v>44135</v>
      </c>
    </row>
    <row r="62" spans="1:11">
      <c r="A62" s="3005" t="s">
        <v>3365</v>
      </c>
      <c r="B62">
        <f>K59</f>
        <v>121131173.03999998</v>
      </c>
    </row>
    <row r="63" spans="1:11">
      <c r="A63" s="3005" t="s">
        <v>3366</v>
      </c>
      <c r="B63">
        <f>F59</f>
        <v>37501.99</v>
      </c>
    </row>
    <row r="64" spans="1:11">
      <c r="A64" s="3005" t="s">
        <v>3367</v>
      </c>
      <c r="B64">
        <f>ROUND(B62/B63/365,2)</f>
        <v>8.85</v>
      </c>
    </row>
  </sheetData>
  <mergeCells count="29">
    <mergeCell ref="R2:R3"/>
    <mergeCell ref="S2:S3"/>
    <mergeCell ref="T2:T3"/>
    <mergeCell ref="A1:I1"/>
    <mergeCell ref="A2:A3"/>
    <mergeCell ref="B2:B3"/>
    <mergeCell ref="C2:C3"/>
    <mergeCell ref="D2:D3"/>
    <mergeCell ref="E2:E3"/>
    <mergeCell ref="F2:F3"/>
    <mergeCell ref="G2:G3"/>
    <mergeCell ref="H2:H3"/>
    <mergeCell ref="I2:I3"/>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9" workbookViewId="0">
      <selection activeCell="K43" sqref="K43"/>
    </sheetView>
  </sheetViews>
  <sheetFormatPr defaultRowHeight="13.5"/>
  <cols>
    <col min="2" max="2" width="10.375" customWidth="1"/>
    <col min="5" max="5" width="11.375" customWidth="1"/>
    <col min="9" max="9" width="11" bestFit="1" customWidth="1"/>
    <col min="12" max="12" width="12.125" bestFit="1" customWidth="1"/>
  </cols>
  <sheetData>
    <row r="1" spans="1:9">
      <c r="A1" s="3004" t="s">
        <v>3435</v>
      </c>
    </row>
    <row r="2" spans="1:9">
      <c r="A2" s="3431" t="s">
        <v>3436</v>
      </c>
      <c r="B2" s="3431" t="s">
        <v>3437</v>
      </c>
      <c r="C2" s="3431" t="s">
        <v>3438</v>
      </c>
      <c r="D2" s="3431" t="s">
        <v>3439</v>
      </c>
      <c r="E2" s="3431" t="s">
        <v>3440</v>
      </c>
      <c r="F2" s="3431"/>
      <c r="H2" s="3020"/>
      <c r="I2" s="3004" t="s">
        <v>3460</v>
      </c>
    </row>
    <row r="3" spans="1:9">
      <c r="A3" s="3431"/>
      <c r="B3" s="3431"/>
      <c r="C3" s="3431"/>
      <c r="D3" s="3431"/>
      <c r="E3" s="2955" t="s">
        <v>3441</v>
      </c>
      <c r="F3" s="2955" t="s">
        <v>3442</v>
      </c>
    </row>
    <row r="4" spans="1:9">
      <c r="A4" s="3008">
        <v>1</v>
      </c>
      <c r="B4" s="3008">
        <v>3</v>
      </c>
      <c r="C4" s="3008">
        <v>1558.86</v>
      </c>
      <c r="D4" s="3007" t="s">
        <v>3443</v>
      </c>
      <c r="E4" s="3007" t="s">
        <v>3445</v>
      </c>
      <c r="F4" s="3008">
        <v>3</v>
      </c>
    </row>
    <row r="5" spans="1:9">
      <c r="A5" s="3008">
        <v>2</v>
      </c>
      <c r="B5" s="3008">
        <v>4</v>
      </c>
      <c r="C5" s="3008">
        <v>1588.13</v>
      </c>
      <c r="D5" s="3007" t="s">
        <v>3444</v>
      </c>
      <c r="E5" s="3007" t="s">
        <v>3447</v>
      </c>
      <c r="F5" s="3008">
        <v>4</v>
      </c>
    </row>
    <row r="6" spans="1:9">
      <c r="A6" s="3008">
        <v>3</v>
      </c>
      <c r="B6" s="3008">
        <v>5</v>
      </c>
      <c r="C6" s="3008">
        <v>1580.93</v>
      </c>
      <c r="D6" s="3007" t="s">
        <v>3444</v>
      </c>
      <c r="E6" s="3007" t="s">
        <v>3448</v>
      </c>
      <c r="F6" s="3008">
        <v>5</v>
      </c>
    </row>
    <row r="7" spans="1:9">
      <c r="A7" s="3008">
        <v>4</v>
      </c>
      <c r="B7" s="3008">
        <v>6</v>
      </c>
      <c r="C7" s="3008">
        <v>1573.73</v>
      </c>
      <c r="D7" s="3007" t="s">
        <v>3444</v>
      </c>
      <c r="E7" s="3007" t="s">
        <v>3446</v>
      </c>
      <c r="F7" s="3008">
        <v>6</v>
      </c>
    </row>
    <row r="8" spans="1:9">
      <c r="A8" s="3008">
        <v>5</v>
      </c>
      <c r="B8" s="3008">
        <v>7</v>
      </c>
      <c r="C8" s="3008">
        <v>1559.33</v>
      </c>
      <c r="D8" s="3007" t="s">
        <v>3444</v>
      </c>
      <c r="E8" s="3007" t="s">
        <v>3448</v>
      </c>
      <c r="F8" s="3008">
        <v>7</v>
      </c>
    </row>
    <row r="9" spans="1:9">
      <c r="A9" s="3008">
        <v>6</v>
      </c>
      <c r="B9" s="3008">
        <v>8</v>
      </c>
      <c r="C9" s="3008">
        <v>1552.13</v>
      </c>
      <c r="D9" s="3007" t="s">
        <v>3444</v>
      </c>
      <c r="E9" s="3007" t="s">
        <v>3446</v>
      </c>
      <c r="F9" s="3008">
        <v>8</v>
      </c>
    </row>
    <row r="10" spans="1:9">
      <c r="A10" s="3008">
        <v>7</v>
      </c>
      <c r="B10" s="3008">
        <v>9</v>
      </c>
      <c r="C10" s="3008">
        <v>1537.73</v>
      </c>
      <c r="D10" s="3007" t="s">
        <v>3444</v>
      </c>
      <c r="E10" s="3007" t="s">
        <v>3448</v>
      </c>
      <c r="F10" s="3008">
        <v>9</v>
      </c>
    </row>
    <row r="11" spans="1:9">
      <c r="A11" s="3008">
        <v>8</v>
      </c>
      <c r="B11" s="3008">
        <v>10</v>
      </c>
      <c r="C11" s="3008">
        <v>1530.53</v>
      </c>
      <c r="D11" s="3007" t="s">
        <v>3444</v>
      </c>
      <c r="E11" s="3007" t="s">
        <v>3446</v>
      </c>
      <c r="F11" s="3008">
        <v>10</v>
      </c>
    </row>
    <row r="12" spans="1:9">
      <c r="A12" s="3008">
        <v>9</v>
      </c>
      <c r="B12" s="3008">
        <v>11</v>
      </c>
      <c r="C12" s="3008">
        <v>1516.13</v>
      </c>
      <c r="D12" s="3007" t="s">
        <v>3444</v>
      </c>
      <c r="E12" s="3007" t="s">
        <v>3448</v>
      </c>
      <c r="F12" s="3008">
        <v>11</v>
      </c>
    </row>
    <row r="13" spans="1:9">
      <c r="A13" s="3008">
        <v>10</v>
      </c>
      <c r="B13" s="3008">
        <v>12</v>
      </c>
      <c r="C13" s="3008">
        <v>1508.93</v>
      </c>
      <c r="D13" s="3007" t="s">
        <v>3444</v>
      </c>
      <c r="E13" s="3007" t="s">
        <v>3446</v>
      </c>
      <c r="F13" s="3008">
        <v>12</v>
      </c>
    </row>
    <row r="14" spans="1:9">
      <c r="A14" s="3008">
        <v>11</v>
      </c>
      <c r="B14" s="3008">
        <v>13</v>
      </c>
      <c r="C14" s="3008">
        <v>1494.53</v>
      </c>
      <c r="D14" s="3007" t="s">
        <v>3444</v>
      </c>
      <c r="E14" s="3007" t="s">
        <v>3448</v>
      </c>
      <c r="F14" s="3008">
        <v>13</v>
      </c>
    </row>
    <row r="15" spans="1:9">
      <c r="A15" s="3008">
        <v>12</v>
      </c>
      <c r="B15" s="3008">
        <v>14</v>
      </c>
      <c r="C15" s="3008">
        <v>1487.33</v>
      </c>
      <c r="D15" s="3007" t="s">
        <v>3444</v>
      </c>
      <c r="E15" s="3007" t="s">
        <v>3446</v>
      </c>
      <c r="F15" s="3008">
        <v>14</v>
      </c>
    </row>
    <row r="16" spans="1:9">
      <c r="A16" s="3008">
        <v>13</v>
      </c>
      <c r="B16" s="3008">
        <v>15</v>
      </c>
      <c r="C16" s="3008">
        <v>1472.93</v>
      </c>
      <c r="D16" s="3007" t="s">
        <v>3444</v>
      </c>
      <c r="E16" s="3007" t="s">
        <v>3448</v>
      </c>
      <c r="F16" s="3008">
        <v>15</v>
      </c>
    </row>
    <row r="17" spans="1:13">
      <c r="A17" s="3008">
        <v>14</v>
      </c>
      <c r="B17" s="3008">
        <v>16</v>
      </c>
      <c r="C17" s="3008">
        <v>1465.73</v>
      </c>
      <c r="D17" s="3007" t="s">
        <v>3444</v>
      </c>
      <c r="E17" s="3007" t="s">
        <v>3446</v>
      </c>
      <c r="F17" s="3008">
        <v>16</v>
      </c>
    </row>
    <row r="18" spans="1:13">
      <c r="A18" s="3008">
        <v>15</v>
      </c>
      <c r="B18" s="3008">
        <v>17</v>
      </c>
      <c r="C18" s="3008">
        <v>1451.33</v>
      </c>
      <c r="D18" s="3007" t="s">
        <v>3444</v>
      </c>
      <c r="E18" s="3007" t="s">
        <v>3448</v>
      </c>
      <c r="F18" s="3008">
        <v>17</v>
      </c>
    </row>
    <row r="19" spans="1:13">
      <c r="A19" s="3008">
        <v>16</v>
      </c>
      <c r="B19" s="3008">
        <v>18</v>
      </c>
      <c r="C19" s="3008">
        <v>1444.13</v>
      </c>
      <c r="D19" s="3007" t="s">
        <v>3444</v>
      </c>
      <c r="E19" s="3007" t="s">
        <v>3446</v>
      </c>
      <c r="F19" s="3008">
        <v>18</v>
      </c>
    </row>
    <row r="20" spans="1:13">
      <c r="A20" s="3008">
        <v>17</v>
      </c>
      <c r="B20" s="3008">
        <v>19</v>
      </c>
      <c r="C20" s="3008">
        <v>1429.73</v>
      </c>
      <c r="D20" s="3007" t="s">
        <v>3444</v>
      </c>
      <c r="E20" s="3007" t="s">
        <v>3448</v>
      </c>
      <c r="F20" s="3008">
        <v>19</v>
      </c>
    </row>
    <row r="21" spans="1:13">
      <c r="A21" s="3008">
        <v>18</v>
      </c>
      <c r="B21" s="3008">
        <v>20</v>
      </c>
      <c r="C21" s="3008">
        <v>1419.07</v>
      </c>
      <c r="D21" s="3007" t="s">
        <v>3444</v>
      </c>
      <c r="E21" s="3007" t="s">
        <v>3446</v>
      </c>
      <c r="F21" s="3008">
        <v>20</v>
      </c>
    </row>
    <row r="22" spans="1:13">
      <c r="A22" s="3008">
        <v>19</v>
      </c>
      <c r="B22" s="3008">
        <v>21</v>
      </c>
      <c r="C22" s="3008">
        <v>1411.87</v>
      </c>
      <c r="D22" s="3007" t="s">
        <v>3444</v>
      </c>
      <c r="E22" s="3007" t="s">
        <v>3448</v>
      </c>
      <c r="F22" s="3008">
        <v>21</v>
      </c>
    </row>
    <row r="23" spans="1:13">
      <c r="A23" s="3008">
        <v>20</v>
      </c>
      <c r="B23" s="3008">
        <v>22</v>
      </c>
      <c r="C23" s="3008">
        <v>984.58</v>
      </c>
      <c r="D23" s="3007" t="s">
        <v>3444</v>
      </c>
      <c r="E23" s="3007" t="s">
        <v>3446</v>
      </c>
      <c r="F23" s="3008">
        <v>22</v>
      </c>
    </row>
    <row r="24" spans="1:13">
      <c r="A24" s="3008">
        <v>21</v>
      </c>
      <c r="B24" s="3008">
        <v>23</v>
      </c>
      <c r="C24" s="3008">
        <v>977.38</v>
      </c>
      <c r="D24" s="3007" t="s">
        <v>3444</v>
      </c>
      <c r="E24" s="3007" t="s">
        <v>3448</v>
      </c>
      <c r="F24" s="3008">
        <v>23</v>
      </c>
    </row>
    <row r="25" spans="1:13">
      <c r="A25" s="3008">
        <v>22</v>
      </c>
      <c r="B25" s="3008">
        <v>24</v>
      </c>
      <c r="C25" s="3008">
        <v>881.37</v>
      </c>
      <c r="D25" s="3007" t="s">
        <v>3444</v>
      </c>
      <c r="E25" s="3007" t="s">
        <v>3446</v>
      </c>
      <c r="F25" s="3008">
        <v>24</v>
      </c>
    </row>
    <row r="26" spans="1:13">
      <c r="A26" s="3008">
        <v>23</v>
      </c>
      <c r="B26" s="3008">
        <v>25</v>
      </c>
      <c r="C26" s="3008">
        <v>931.34</v>
      </c>
      <c r="D26" s="3007" t="s">
        <v>3444</v>
      </c>
      <c r="E26" s="3007" t="s">
        <v>3448</v>
      </c>
      <c r="F26" s="3008">
        <v>25</v>
      </c>
    </row>
    <row r="27" spans="1:13">
      <c r="A27" s="3018">
        <v>24</v>
      </c>
      <c r="B27" s="3018">
        <v>26</v>
      </c>
      <c r="C27" s="3018">
        <v>854.48</v>
      </c>
      <c r="D27" s="3019" t="s">
        <v>3444</v>
      </c>
      <c r="E27" s="3019" t="s">
        <v>3446</v>
      </c>
      <c r="F27" s="3018">
        <v>26</v>
      </c>
      <c r="H27" s="3004" t="s">
        <v>3590</v>
      </c>
    </row>
    <row r="28" spans="1:13">
      <c r="A28" s="3447" t="s">
        <v>3459</v>
      </c>
      <c r="B28" s="3448"/>
      <c r="C28" s="3008">
        <f>SUM(C4:C27)</f>
        <v>33212.230000000003</v>
      </c>
      <c r="D28" s="3007" t="s">
        <v>3449</v>
      </c>
      <c r="E28" s="3007" t="s">
        <v>3449</v>
      </c>
      <c r="F28" s="3007" t="s">
        <v>3449</v>
      </c>
      <c r="H28" s="3085" t="s">
        <v>3591</v>
      </c>
      <c r="I28">
        <v>7279</v>
      </c>
      <c r="J28" s="3087" t="s">
        <v>3594</v>
      </c>
      <c r="K28">
        <f>7279/2</f>
        <v>3639.5</v>
      </c>
      <c r="L28" s="3004" t="s">
        <v>3595</v>
      </c>
      <c r="M28">
        <f>I28-K28</f>
        <v>3639.5</v>
      </c>
    </row>
    <row r="29" spans="1:13">
      <c r="A29" s="3004" t="s">
        <v>3450</v>
      </c>
      <c r="H29" s="3004" t="s">
        <v>3592</v>
      </c>
      <c r="I29">
        <v>377</v>
      </c>
    </row>
    <row r="30" spans="1:13">
      <c r="A30" s="3431" t="s">
        <v>3436</v>
      </c>
      <c r="B30" s="3431" t="s">
        <v>3437</v>
      </c>
      <c r="C30" s="3431" t="s">
        <v>3438</v>
      </c>
      <c r="D30" s="3431" t="s">
        <v>3439</v>
      </c>
      <c r="E30" s="3431" t="s">
        <v>3440</v>
      </c>
      <c r="F30" s="3431"/>
      <c r="H30" s="3086" t="s">
        <v>3593</v>
      </c>
      <c r="I30">
        <v>275</v>
      </c>
    </row>
    <row r="31" spans="1:13">
      <c r="A31" s="3431"/>
      <c r="B31" s="3431"/>
      <c r="C31" s="3431"/>
      <c r="D31" s="3431"/>
      <c r="E31" s="3007" t="s">
        <v>3441</v>
      </c>
      <c r="F31" s="3007" t="s">
        <v>3442</v>
      </c>
      <c r="H31" s="3086" t="s">
        <v>3596</v>
      </c>
      <c r="I31">
        <v>619</v>
      </c>
      <c r="J31" s="3004" t="s">
        <v>3599</v>
      </c>
      <c r="K31">
        <f>I31/2</f>
        <v>309.5</v>
      </c>
      <c r="L31" s="3004" t="s">
        <v>3600</v>
      </c>
      <c r="M31">
        <f>K31</f>
        <v>309.5</v>
      </c>
    </row>
    <row r="32" spans="1:13">
      <c r="A32" s="3008">
        <v>1</v>
      </c>
      <c r="B32" s="3008">
        <v>-301</v>
      </c>
      <c r="C32" s="3008">
        <v>1354.25</v>
      </c>
      <c r="D32" s="3007" t="s">
        <v>3451</v>
      </c>
      <c r="E32" s="3007" t="s">
        <v>3453</v>
      </c>
      <c r="F32" s="3008">
        <v>-3</v>
      </c>
      <c r="H32" s="3086" t="s">
        <v>3597</v>
      </c>
      <c r="I32">
        <v>29</v>
      </c>
    </row>
    <row r="33" spans="1:9">
      <c r="A33" s="3008">
        <v>2</v>
      </c>
      <c r="B33" s="3008">
        <v>-302</v>
      </c>
      <c r="C33" s="3008">
        <v>1685.6</v>
      </c>
      <c r="D33" s="3007" t="s">
        <v>3451</v>
      </c>
      <c r="E33" s="3007" t="s">
        <v>3453</v>
      </c>
      <c r="F33" s="3008">
        <v>-3</v>
      </c>
      <c r="H33" s="3086" t="s">
        <v>3598</v>
      </c>
      <c r="I33">
        <v>270</v>
      </c>
    </row>
    <row r="34" spans="1:9">
      <c r="A34" s="3008">
        <v>3</v>
      </c>
      <c r="B34" s="3008">
        <v>-201</v>
      </c>
      <c r="C34" s="3008">
        <v>6954.92</v>
      </c>
      <c r="D34" s="3007" t="s">
        <v>3443</v>
      </c>
      <c r="E34" s="3007" t="s">
        <v>3454</v>
      </c>
      <c r="F34" s="3008">
        <v>-2</v>
      </c>
    </row>
    <row r="35" spans="1:9">
      <c r="A35" s="3008">
        <v>4</v>
      </c>
      <c r="B35" s="3008">
        <v>-202</v>
      </c>
      <c r="C35" s="3008">
        <v>3239</v>
      </c>
      <c r="D35" s="3007" t="s">
        <v>3112</v>
      </c>
      <c r="E35" s="3007" t="s">
        <v>3452</v>
      </c>
      <c r="F35" s="3008">
        <v>-2</v>
      </c>
    </row>
    <row r="36" spans="1:9">
      <c r="A36" s="3008">
        <v>5</v>
      </c>
      <c r="B36" s="3008">
        <v>-101</v>
      </c>
      <c r="C36" s="3008">
        <v>6650.82</v>
      </c>
      <c r="D36" s="3007" t="s">
        <v>3443</v>
      </c>
      <c r="E36" s="3007" t="s">
        <v>3452</v>
      </c>
      <c r="F36" s="3008">
        <v>-1</v>
      </c>
    </row>
    <row r="37" spans="1:9">
      <c r="A37" s="3008">
        <v>6</v>
      </c>
      <c r="B37" s="3008">
        <v>-102</v>
      </c>
      <c r="C37" s="3008">
        <v>3719.06</v>
      </c>
      <c r="D37" s="3007" t="s">
        <v>3112</v>
      </c>
      <c r="E37" s="3007" t="s">
        <v>3452</v>
      </c>
      <c r="F37" s="3008">
        <v>-1</v>
      </c>
    </row>
    <row r="38" spans="1:9">
      <c r="A38" s="3008">
        <v>7</v>
      </c>
      <c r="B38" s="3008">
        <v>101</v>
      </c>
      <c r="C38" s="3008">
        <v>2894.59</v>
      </c>
      <c r="D38" s="3007" t="s">
        <v>3443</v>
      </c>
      <c r="E38" s="3007" t="s">
        <v>3452</v>
      </c>
      <c r="F38" s="3008">
        <v>1</v>
      </c>
    </row>
    <row r="39" spans="1:9">
      <c r="A39" s="3008">
        <v>8</v>
      </c>
      <c r="B39" s="3008">
        <v>102</v>
      </c>
      <c r="C39" s="3008">
        <v>1377.98</v>
      </c>
      <c r="D39" s="3007" t="s">
        <v>3443</v>
      </c>
      <c r="E39" s="3007" t="s">
        <v>3452</v>
      </c>
      <c r="F39" s="3008">
        <v>1</v>
      </c>
    </row>
    <row r="40" spans="1:9">
      <c r="A40" s="3008">
        <v>9</v>
      </c>
      <c r="B40" s="3008">
        <v>2</v>
      </c>
      <c r="C40" s="3008">
        <v>4505.8599999999997</v>
      </c>
      <c r="D40" s="3007" t="s">
        <v>3443</v>
      </c>
      <c r="E40" s="3007" t="s">
        <v>3452</v>
      </c>
      <c r="F40" s="3008">
        <v>2</v>
      </c>
    </row>
    <row r="41" spans="1:9">
      <c r="A41" s="3431" t="s">
        <v>3459</v>
      </c>
      <c r="B41" s="3432"/>
      <c r="C41" s="3008">
        <f>SUM(C32:C40)</f>
        <v>32382.080000000002</v>
      </c>
      <c r="D41" s="3007" t="s">
        <v>3456</v>
      </c>
      <c r="E41" s="3007" t="s">
        <v>3456</v>
      </c>
      <c r="F41" s="3007" t="s">
        <v>3457</v>
      </c>
    </row>
    <row r="42" spans="1:9">
      <c r="A42" s="3004" t="s">
        <v>3458</v>
      </c>
    </row>
    <row r="43" spans="1:9">
      <c r="A43" s="3431" t="s">
        <v>3436</v>
      </c>
      <c r="B43" s="3431" t="s">
        <v>3437</v>
      </c>
      <c r="C43" s="3431" t="s">
        <v>3438</v>
      </c>
      <c r="D43" s="3431" t="s">
        <v>3439</v>
      </c>
      <c r="E43" s="3431" t="s">
        <v>3440</v>
      </c>
      <c r="F43" s="3431"/>
    </row>
    <row r="44" spans="1:9">
      <c r="A44" s="3431"/>
      <c r="B44" s="3431"/>
      <c r="C44" s="3431"/>
      <c r="D44" s="3431"/>
      <c r="E44" s="2955" t="s">
        <v>3441</v>
      </c>
      <c r="F44" s="2955" t="s">
        <v>3442</v>
      </c>
    </row>
    <row r="45" spans="1:9">
      <c r="A45" s="3008">
        <v>1</v>
      </c>
      <c r="B45" s="3008">
        <v>3</v>
      </c>
      <c r="C45" s="3008">
        <v>1582.73</v>
      </c>
      <c r="D45" s="3007" t="s">
        <v>3443</v>
      </c>
      <c r="E45" s="3007" t="s">
        <v>3445</v>
      </c>
      <c r="F45" s="3008">
        <v>3</v>
      </c>
    </row>
    <row r="46" spans="1:9">
      <c r="A46" s="3008">
        <v>2</v>
      </c>
      <c r="B46" s="3008">
        <v>4</v>
      </c>
      <c r="C46" s="3008">
        <v>1588.13</v>
      </c>
      <c r="D46" s="3007" t="s">
        <v>3444</v>
      </c>
      <c r="E46" s="3007" t="s">
        <v>3447</v>
      </c>
      <c r="F46" s="3008">
        <v>4</v>
      </c>
    </row>
    <row r="47" spans="1:9">
      <c r="A47" s="3008">
        <v>3</v>
      </c>
      <c r="B47" s="3008">
        <v>5</v>
      </c>
      <c r="C47" s="3008">
        <v>1580.93</v>
      </c>
      <c r="D47" s="3007" t="s">
        <v>3444</v>
      </c>
      <c r="E47" s="3007" t="s">
        <v>3448</v>
      </c>
      <c r="F47" s="3008">
        <v>5</v>
      </c>
    </row>
    <row r="48" spans="1:9">
      <c r="A48" s="3008">
        <v>4</v>
      </c>
      <c r="B48" s="3008">
        <v>6</v>
      </c>
      <c r="C48" s="3008">
        <v>1573.73</v>
      </c>
      <c r="D48" s="3007" t="s">
        <v>3444</v>
      </c>
      <c r="E48" s="3007" t="s">
        <v>3446</v>
      </c>
      <c r="F48" s="3008">
        <v>6</v>
      </c>
    </row>
    <row r="49" spans="1:6">
      <c r="A49" s="3008">
        <v>5</v>
      </c>
      <c r="B49" s="3008">
        <v>7</v>
      </c>
      <c r="C49" s="3008">
        <v>1559.33</v>
      </c>
      <c r="D49" s="3007" t="s">
        <v>3444</v>
      </c>
      <c r="E49" s="3007" t="s">
        <v>3448</v>
      </c>
      <c r="F49" s="3008">
        <v>7</v>
      </c>
    </row>
    <row r="50" spans="1:6">
      <c r="A50" s="3008">
        <v>6</v>
      </c>
      <c r="B50" s="3008">
        <v>8</v>
      </c>
      <c r="C50" s="3008">
        <v>1552.13</v>
      </c>
      <c r="D50" s="3007" t="s">
        <v>3444</v>
      </c>
      <c r="E50" s="3007" t="s">
        <v>3446</v>
      </c>
      <c r="F50" s="3008">
        <v>8</v>
      </c>
    </row>
    <row r="51" spans="1:6">
      <c r="A51" s="3008">
        <v>7</v>
      </c>
      <c r="B51" s="3008">
        <v>9</v>
      </c>
      <c r="C51" s="3008">
        <v>1537.73</v>
      </c>
      <c r="D51" s="3007" t="s">
        <v>3444</v>
      </c>
      <c r="E51" s="3007" t="s">
        <v>3448</v>
      </c>
      <c r="F51" s="3008">
        <v>9</v>
      </c>
    </row>
    <row r="52" spans="1:6">
      <c r="A52" s="3008">
        <v>8</v>
      </c>
      <c r="B52" s="3008">
        <v>10</v>
      </c>
      <c r="C52" s="3008">
        <v>1530.53</v>
      </c>
      <c r="D52" s="3007" t="s">
        <v>3444</v>
      </c>
      <c r="E52" s="3007" t="s">
        <v>3446</v>
      </c>
      <c r="F52" s="3008">
        <v>10</v>
      </c>
    </row>
    <row r="53" spans="1:6">
      <c r="A53" s="3008">
        <v>9</v>
      </c>
      <c r="B53" s="3008">
        <v>11</v>
      </c>
      <c r="C53" s="3008">
        <v>1516.13</v>
      </c>
      <c r="D53" s="3007" t="s">
        <v>3444</v>
      </c>
      <c r="E53" s="3007" t="s">
        <v>3448</v>
      </c>
      <c r="F53" s="3008">
        <v>11</v>
      </c>
    </row>
    <row r="54" spans="1:6">
      <c r="A54" s="3008">
        <v>10</v>
      </c>
      <c r="B54" s="3008">
        <v>12</v>
      </c>
      <c r="C54" s="3008">
        <v>1508.93</v>
      </c>
      <c r="D54" s="3007" t="s">
        <v>3444</v>
      </c>
      <c r="E54" s="3007" t="s">
        <v>3446</v>
      </c>
      <c r="F54" s="3008">
        <v>12</v>
      </c>
    </row>
    <row r="55" spans="1:6">
      <c r="A55" s="3008">
        <v>11</v>
      </c>
      <c r="B55" s="3008">
        <v>13</v>
      </c>
      <c r="C55" s="3008">
        <v>1494.53</v>
      </c>
      <c r="D55" s="3007" t="s">
        <v>3444</v>
      </c>
      <c r="E55" s="3007" t="s">
        <v>3448</v>
      </c>
      <c r="F55" s="3008">
        <v>13</v>
      </c>
    </row>
    <row r="56" spans="1:6">
      <c r="A56" s="3008">
        <v>12</v>
      </c>
      <c r="B56" s="3008">
        <v>14</v>
      </c>
      <c r="C56" s="3008">
        <v>1487.33</v>
      </c>
      <c r="D56" s="3007" t="s">
        <v>3444</v>
      </c>
      <c r="E56" s="3007" t="s">
        <v>3446</v>
      </c>
      <c r="F56" s="3008">
        <v>14</v>
      </c>
    </row>
    <row r="57" spans="1:6">
      <c r="A57" s="3008">
        <v>13</v>
      </c>
      <c r="B57" s="3008">
        <v>15</v>
      </c>
      <c r="C57" s="3008">
        <v>1472.93</v>
      </c>
      <c r="D57" s="3007" t="s">
        <v>3444</v>
      </c>
      <c r="E57" s="3007" t="s">
        <v>3448</v>
      </c>
      <c r="F57" s="3008">
        <v>15</v>
      </c>
    </row>
    <row r="58" spans="1:6">
      <c r="A58" s="3008">
        <v>14</v>
      </c>
      <c r="B58" s="3008">
        <v>16</v>
      </c>
      <c r="C58" s="3008">
        <v>1465.73</v>
      </c>
      <c r="D58" s="3007" t="s">
        <v>3444</v>
      </c>
      <c r="E58" s="3007" t="s">
        <v>3446</v>
      </c>
      <c r="F58" s="3008">
        <v>16</v>
      </c>
    </row>
    <row r="59" spans="1:6">
      <c r="A59" s="3008">
        <v>15</v>
      </c>
      <c r="B59" s="3008">
        <v>17</v>
      </c>
      <c r="C59" s="3008">
        <v>1451.33</v>
      </c>
      <c r="D59" s="3007" t="s">
        <v>3444</v>
      </c>
      <c r="E59" s="3007" t="s">
        <v>3448</v>
      </c>
      <c r="F59" s="3008">
        <v>17</v>
      </c>
    </row>
    <row r="60" spans="1:6">
      <c r="A60" s="3008">
        <v>16</v>
      </c>
      <c r="B60" s="3008">
        <v>18</v>
      </c>
      <c r="C60" s="3008">
        <v>1444.13</v>
      </c>
      <c r="D60" s="3007" t="s">
        <v>3444</v>
      </c>
      <c r="E60" s="3007" t="s">
        <v>3446</v>
      </c>
      <c r="F60" s="3008">
        <v>18</v>
      </c>
    </row>
    <row r="61" spans="1:6">
      <c r="A61" s="3008">
        <v>17</v>
      </c>
      <c r="B61" s="3008">
        <v>19</v>
      </c>
      <c r="C61" s="3008">
        <v>1429.73</v>
      </c>
      <c r="D61" s="3007" t="s">
        <v>3444</v>
      </c>
      <c r="E61" s="3007" t="s">
        <v>3448</v>
      </c>
      <c r="F61" s="3008">
        <v>19</v>
      </c>
    </row>
    <row r="62" spans="1:6">
      <c r="A62" s="3008">
        <v>18</v>
      </c>
      <c r="B62" s="3008">
        <v>20</v>
      </c>
      <c r="C62" s="3008">
        <v>1419.07</v>
      </c>
      <c r="D62" s="3007" t="s">
        <v>3444</v>
      </c>
      <c r="E62" s="3007" t="s">
        <v>3446</v>
      </c>
      <c r="F62" s="3008">
        <v>20</v>
      </c>
    </row>
    <row r="63" spans="1:6">
      <c r="A63" s="3008">
        <v>19</v>
      </c>
      <c r="B63" s="3008">
        <v>21</v>
      </c>
      <c r="C63" s="3008">
        <v>1411.87</v>
      </c>
      <c r="D63" s="3007" t="s">
        <v>3444</v>
      </c>
      <c r="E63" s="3007" t="s">
        <v>3448</v>
      </c>
      <c r="F63" s="3008">
        <v>21</v>
      </c>
    </row>
    <row r="64" spans="1:6">
      <c r="A64" s="3008">
        <v>20</v>
      </c>
      <c r="B64" s="3008">
        <v>22</v>
      </c>
      <c r="C64" s="3008">
        <v>984.58</v>
      </c>
      <c r="D64" s="3007" t="s">
        <v>3444</v>
      </c>
      <c r="E64" s="3007" t="s">
        <v>3446</v>
      </c>
      <c r="F64" s="3008">
        <v>22</v>
      </c>
    </row>
    <row r="65" spans="1:6">
      <c r="A65" s="3008">
        <v>21</v>
      </c>
      <c r="B65" s="3008">
        <v>23</v>
      </c>
      <c r="C65" s="3008">
        <v>977.38</v>
      </c>
      <c r="D65" s="3007" t="s">
        <v>3444</v>
      </c>
      <c r="E65" s="3007" t="s">
        <v>3448</v>
      </c>
      <c r="F65" s="3008">
        <v>23</v>
      </c>
    </row>
    <row r="66" spans="1:6">
      <c r="A66" s="3008">
        <v>22</v>
      </c>
      <c r="B66" s="3008">
        <v>24</v>
      </c>
      <c r="C66" s="3008">
        <v>881.37</v>
      </c>
      <c r="D66" s="3007" t="s">
        <v>3444</v>
      </c>
      <c r="E66" s="3007" t="s">
        <v>3446</v>
      </c>
      <c r="F66" s="3008">
        <v>24</v>
      </c>
    </row>
    <row r="67" spans="1:6">
      <c r="A67" s="3008">
        <v>23</v>
      </c>
      <c r="B67" s="3008">
        <v>25</v>
      </c>
      <c r="C67" s="3008">
        <v>931.34</v>
      </c>
      <c r="D67" s="3007" t="s">
        <v>3444</v>
      </c>
      <c r="E67" s="3007" t="s">
        <v>3448</v>
      </c>
      <c r="F67" s="3008">
        <v>25</v>
      </c>
    </row>
    <row r="68" spans="1:6">
      <c r="A68" s="3008">
        <v>24</v>
      </c>
      <c r="B68" s="3008">
        <v>26</v>
      </c>
      <c r="C68" s="3008">
        <v>854.48</v>
      </c>
      <c r="D68" s="3007" t="s">
        <v>3444</v>
      </c>
      <c r="E68" s="3007" t="s">
        <v>3446</v>
      </c>
      <c r="F68" s="3008">
        <v>26</v>
      </c>
    </row>
    <row r="69" spans="1:6">
      <c r="A69" s="3447" t="s">
        <v>3459</v>
      </c>
      <c r="B69" s="3448"/>
      <c r="C69" s="3008">
        <f>SUM(C45:C68)</f>
        <v>33236.1</v>
      </c>
      <c r="D69" s="3007" t="s">
        <v>3449</v>
      </c>
      <c r="E69" s="3007" t="s">
        <v>3449</v>
      </c>
      <c r="F69" s="3007" t="s">
        <v>3449</v>
      </c>
    </row>
    <row r="70" spans="1:6">
      <c r="A70" s="3447" t="s">
        <v>3455</v>
      </c>
      <c r="B70" s="3449"/>
      <c r="C70" s="3008">
        <f>C28+C41+C69</f>
        <v>98830.41</v>
      </c>
      <c r="D70" s="3007" t="s">
        <v>3457</v>
      </c>
      <c r="E70" s="3007" t="s">
        <v>3449</v>
      </c>
      <c r="F70" s="3007" t="s">
        <v>3449</v>
      </c>
    </row>
  </sheetData>
  <mergeCells count="19">
    <mergeCell ref="E43:F43"/>
    <mergeCell ref="A69:B69"/>
    <mergeCell ref="A70:B70"/>
    <mergeCell ref="A43:A44"/>
    <mergeCell ref="B43:B44"/>
    <mergeCell ref="C43:C44"/>
    <mergeCell ref="D43:D44"/>
    <mergeCell ref="E2:F2"/>
    <mergeCell ref="A28:B28"/>
    <mergeCell ref="A41:B41"/>
    <mergeCell ref="A2:A3"/>
    <mergeCell ref="B2:B3"/>
    <mergeCell ref="C2:C3"/>
    <mergeCell ref="D2:D3"/>
    <mergeCell ref="A30:A31"/>
    <mergeCell ref="B30:B31"/>
    <mergeCell ref="C30:C31"/>
    <mergeCell ref="D30:D31"/>
    <mergeCell ref="E30:F30"/>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19" sqref="G19"/>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3004" t="s">
        <v>3475</v>
      </c>
      <c r="F1" s="3050" t="s">
        <v>3478</v>
      </c>
      <c r="G1" s="3051">
        <f>E12</f>
        <v>44565</v>
      </c>
      <c r="H1" s="3052"/>
      <c r="I1" s="3052"/>
      <c r="J1" s="3052"/>
      <c r="K1" s="3052"/>
    </row>
    <row r="2" spans="1:11" ht="27">
      <c r="A2" s="3049">
        <v>43104</v>
      </c>
      <c r="B2" s="3006">
        <v>43469</v>
      </c>
      <c r="C2" s="3006">
        <v>43834</v>
      </c>
      <c r="D2" s="3006">
        <v>44135</v>
      </c>
      <c r="F2" s="3053" t="s">
        <v>3479</v>
      </c>
      <c r="G2" s="3054" t="s">
        <v>3480</v>
      </c>
      <c r="H2" s="3055" t="s">
        <v>3481</v>
      </c>
      <c r="I2" s="3054" t="s">
        <v>3482</v>
      </c>
      <c r="J2" s="3056" t="s">
        <v>3483</v>
      </c>
      <c r="K2" s="3052"/>
    </row>
    <row r="3" spans="1:11" ht="14.25" thickBot="1">
      <c r="A3">
        <f>'比较法-办公租金'!C50</f>
        <v>8.5</v>
      </c>
      <c r="B3">
        <f>ROUND(A3*(1+$B$4),2)</f>
        <v>8.76</v>
      </c>
      <c r="C3">
        <f t="shared" ref="C3" si="0">ROUND(B3*(1+$B$4),2)</f>
        <v>9.02</v>
      </c>
      <c r="D3">
        <f>ROUND(C3*(1+$B$4)^0.82,2)</f>
        <v>9.24</v>
      </c>
      <c r="F3" s="3057">
        <v>40</v>
      </c>
      <c r="G3" s="3058">
        <f>F12</f>
        <v>44681</v>
      </c>
      <c r="H3" s="3059">
        <f>ROUNDDOWN(MIN((G3-G1)/365,F3),2)</f>
        <v>0.31</v>
      </c>
      <c r="I3" s="3060">
        <f>IF(ISERROR(ROUND(POWER(1+J3,F3-H3)*(POWER(1+J3,H3)-1)/(POWER(1+J3,F3)-1),3)),0,ROUND(POWER(1+J3,F3-H3)*(POWER(1+J3,H3)-1)/(POWER(1+J3,F3)-1),3))</f>
        <v>1.4999999999999999E-2</v>
      </c>
      <c r="J3" s="3061">
        <v>0.04</v>
      </c>
      <c r="K3" s="3052"/>
    </row>
    <row r="4" spans="1:11" ht="14.25" thickBot="1">
      <c r="A4" s="3004" t="s">
        <v>3476</v>
      </c>
      <c r="B4" s="2953">
        <v>0.03</v>
      </c>
      <c r="C4" s="3004" t="s">
        <v>3477</v>
      </c>
      <c r="D4" s="2953">
        <v>0.1</v>
      </c>
      <c r="F4" s="3052"/>
      <c r="G4" s="3052"/>
      <c r="H4" s="3052"/>
      <c r="I4" s="3052"/>
      <c r="J4" s="3052"/>
      <c r="K4" s="3052"/>
    </row>
    <row r="5" spans="1:11" ht="14.25" thickBot="1">
      <c r="A5" s="3004" t="s">
        <v>3494</v>
      </c>
      <c r="B5">
        <v>2.82</v>
      </c>
      <c r="F5" s="3062" t="s">
        <v>3484</v>
      </c>
      <c r="G5" s="3063"/>
      <c r="H5" s="3052"/>
      <c r="I5" s="3052"/>
      <c r="J5" s="3052"/>
      <c r="K5" s="3052"/>
    </row>
    <row r="6" spans="1:11" ht="14.25" thickBot="1">
      <c r="F6" s="3450" t="s">
        <v>3485</v>
      </c>
      <c r="G6" s="3451"/>
      <c r="H6" s="3450" t="s">
        <v>3483</v>
      </c>
      <c r="I6" s="3451"/>
      <c r="J6" s="3450" t="s">
        <v>3482</v>
      </c>
      <c r="K6" s="3451"/>
    </row>
    <row r="7" spans="1:11">
      <c r="F7" s="3064" t="s">
        <v>3486</v>
      </c>
      <c r="G7" s="3065">
        <v>50</v>
      </c>
      <c r="H7" s="3066" t="s">
        <v>3487</v>
      </c>
      <c r="I7" s="3067">
        <v>0.06</v>
      </c>
      <c r="J7" s="3066" t="s">
        <v>3488</v>
      </c>
      <c r="K7" s="3068">
        <f>1-(1/(POWER(1+I7,G7)))</f>
        <v>0.94571163818330928</v>
      </c>
    </row>
    <row r="8" spans="1:11" ht="14.25" thickBot="1">
      <c r="F8" s="3069" t="s">
        <v>3489</v>
      </c>
      <c r="G8" s="3070">
        <v>44.84</v>
      </c>
      <c r="H8" s="3071" t="s">
        <v>3490</v>
      </c>
      <c r="I8" s="3072">
        <v>0.06</v>
      </c>
      <c r="J8" s="3071" t="s">
        <v>3491</v>
      </c>
      <c r="K8" s="3073">
        <f>1-(1/(POWER(1+I8,G8)))</f>
        <v>0.9266694400061779</v>
      </c>
    </row>
    <row r="9" spans="1:11">
      <c r="F9" s="3064" t="s">
        <v>3492</v>
      </c>
      <c r="G9" s="3074">
        <v>5000</v>
      </c>
      <c r="H9" s="3066" t="s">
        <v>3493</v>
      </c>
      <c r="I9" s="3075">
        <v>5000</v>
      </c>
      <c r="J9" s="3052"/>
      <c r="K9" s="3052"/>
    </row>
    <row r="10" spans="1:11" ht="14.25" thickBot="1">
      <c r="F10" s="3069" t="s">
        <v>3493</v>
      </c>
      <c r="G10" s="3076">
        <f>ROUND(G9*K8/K7,2)</f>
        <v>4899.32</v>
      </c>
      <c r="H10" s="3071" t="s">
        <v>3492</v>
      </c>
      <c r="I10" s="3077">
        <f>ROUND(I9*K7/K8,2)</f>
        <v>5102.75</v>
      </c>
      <c r="J10" s="3052"/>
      <c r="K10" s="3052"/>
    </row>
    <row r="11" spans="1:11">
      <c r="A11" s="3004" t="s">
        <v>3569</v>
      </c>
    </row>
    <row r="12" spans="1:11">
      <c r="A12" s="3049">
        <v>43104</v>
      </c>
      <c r="B12" s="3006">
        <v>43469</v>
      </c>
      <c r="C12" s="3006">
        <v>43834</v>
      </c>
      <c r="D12" s="3006">
        <v>44200</v>
      </c>
      <c r="E12" s="3006">
        <v>44565</v>
      </c>
      <c r="F12" s="3006">
        <v>44681</v>
      </c>
    </row>
    <row r="13" spans="1:11">
      <c r="A13">
        <f>'典型户型修正-租金'!B21</f>
        <v>7</v>
      </c>
      <c r="B13">
        <f>ROUND(A13*(1+$B$14),2)</f>
        <v>7.25</v>
      </c>
      <c r="C13">
        <f t="shared" ref="C13:E13" si="1">ROUND(B13*(1+$B$14),2)</f>
        <v>7.5</v>
      </c>
      <c r="D13">
        <f t="shared" si="1"/>
        <v>7.76</v>
      </c>
      <c r="E13">
        <f t="shared" si="1"/>
        <v>8.0299999999999994</v>
      </c>
      <c r="F13">
        <f>ROUND(E13*(1+$B$14)^0.31,2)</f>
        <v>8.1199999999999992</v>
      </c>
    </row>
    <row r="14" spans="1:11">
      <c r="A14" s="3004" t="s">
        <v>3476</v>
      </c>
      <c r="B14" s="2940">
        <v>3.5000000000000003E-2</v>
      </c>
      <c r="C14" s="3004" t="s">
        <v>3477</v>
      </c>
      <c r="D14" s="2953">
        <v>0.1</v>
      </c>
    </row>
    <row r="15" spans="1:11">
      <c r="A15" s="3004" t="s">
        <v>3570</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2" t="s">
        <v>1671</v>
      </c>
      <c r="B15" s="3127" t="s">
        <v>136</v>
      </c>
      <c r="C15" s="3128"/>
    </row>
    <row r="16" spans="1:7" ht="13.5">
      <c r="A16" s="3133"/>
      <c r="B16" s="3127" t="s">
        <v>69</v>
      </c>
      <c r="C16" s="3128"/>
    </row>
    <row r="17" spans="1:3" ht="13.5">
      <c r="A17" s="3133"/>
      <c r="B17" s="3130" t="s">
        <v>1672</v>
      </c>
      <c r="C17" s="2005" t="s">
        <v>1671</v>
      </c>
    </row>
    <row r="18" spans="1:3" ht="13.5">
      <c r="A18" s="3133"/>
      <c r="B18" s="3130"/>
      <c r="C18" s="2005" t="s">
        <v>1673</v>
      </c>
    </row>
    <row r="19" spans="1:3" ht="13.5">
      <c r="A19" s="3133"/>
      <c r="B19" s="3130"/>
      <c r="C19" s="2005" t="s">
        <v>1674</v>
      </c>
    </row>
    <row r="20" spans="1:3" ht="13.5">
      <c r="A20" s="3134"/>
      <c r="B20" s="3129" t="s">
        <v>1675</v>
      </c>
      <c r="C20" s="3128"/>
    </row>
    <row r="21" spans="1:3" ht="13.5">
      <c r="A21" s="2006" t="s">
        <v>1676</v>
      </c>
      <c r="B21" s="2007"/>
      <c r="C21" s="2008"/>
    </row>
    <row r="22" spans="1:3" ht="13.5">
      <c r="A22" s="3131" t="s">
        <v>1677</v>
      </c>
      <c r="B22" s="3129" t="s">
        <v>1678</v>
      </c>
      <c r="C22" s="3128"/>
    </row>
    <row r="23" spans="1:3" ht="13.5">
      <c r="A23" s="3131"/>
      <c r="B23" s="3129" t="s">
        <v>1679</v>
      </c>
      <c r="C23" s="3128"/>
    </row>
    <row r="24" spans="1:3" ht="13.5">
      <c r="A24" s="3131"/>
      <c r="B24" s="3129" t="s">
        <v>1680</v>
      </c>
      <c r="C24" s="3128"/>
    </row>
    <row r="25" spans="1:3" ht="13.5">
      <c r="A25" s="3131"/>
      <c r="B25" s="3130" t="s">
        <v>1681</v>
      </c>
      <c r="C25" s="2005" t="s">
        <v>1682</v>
      </c>
    </row>
    <row r="26" spans="1:3" ht="13.5">
      <c r="A26" s="3131"/>
      <c r="B26" s="3130"/>
      <c r="C26" s="2005" t="s">
        <v>1683</v>
      </c>
    </row>
    <row r="27" spans="1:3" ht="13.5">
      <c r="A27" s="3131"/>
      <c r="B27" s="3130"/>
      <c r="C27" s="2005" t="s">
        <v>1684</v>
      </c>
    </row>
    <row r="28" spans="1:3" ht="13.5">
      <c r="A28" s="3131"/>
      <c r="B28" s="3130"/>
      <c r="C28" s="2005" t="s">
        <v>1685</v>
      </c>
    </row>
    <row r="29" spans="1:3" ht="13.5">
      <c r="A29" s="3131"/>
      <c r="B29" s="3130"/>
      <c r="C29" s="2005" t="s">
        <v>1686</v>
      </c>
    </row>
    <row r="30" spans="1:3" ht="13.5">
      <c r="A30" s="3131"/>
      <c r="B30" s="3130"/>
      <c r="C30" s="2005" t="s">
        <v>1687</v>
      </c>
    </row>
    <row r="31" spans="1:3" ht="13.5">
      <c r="A31" s="3131"/>
      <c r="B31" s="3130"/>
      <c r="C31" s="2005" t="s">
        <v>1688</v>
      </c>
    </row>
    <row r="32" spans="1:3" ht="13.5">
      <c r="A32" s="3131"/>
      <c r="B32" s="3130"/>
      <c r="C32" s="2005" t="s">
        <v>1689</v>
      </c>
    </row>
    <row r="33" spans="1:3" ht="13.5">
      <c r="A33" s="3131"/>
      <c r="B33" s="3130"/>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43225</v>
      </c>
      <c r="C2" s="1023" t="s">
        <v>826</v>
      </c>
      <c r="D2" s="1023"/>
    </row>
    <row r="3" spans="1:6" ht="24" customHeight="1">
      <c r="A3" s="1024" t="s">
        <v>827</v>
      </c>
      <c r="B3" s="1025" t="s">
        <v>828</v>
      </c>
      <c r="C3" s="2348" t="s">
        <v>829</v>
      </c>
      <c r="D3" s="2351" t="s">
        <v>830</v>
      </c>
      <c r="E3" s="1026" t="s">
        <v>831</v>
      </c>
      <c r="F3" s="1025" t="s">
        <v>829</v>
      </c>
    </row>
    <row r="4" spans="1:6" ht="24" customHeight="1">
      <c r="A4" s="1707" t="s">
        <v>832</v>
      </c>
      <c r="B4" s="1026">
        <f ca="1">IF(C4&lt;B2,"已过期",1119970066)</f>
        <v>1119970066</v>
      </c>
      <c r="C4" s="2349">
        <v>43849</v>
      </c>
      <c r="D4" s="2352" t="s">
        <v>832</v>
      </c>
      <c r="E4" s="1026">
        <f ca="1">IF(F4&lt;B2,"已过期",96010014)</f>
        <v>96010014</v>
      </c>
      <c r="F4" s="1034">
        <v>47118</v>
      </c>
    </row>
    <row r="5" spans="1:6" ht="24" customHeight="1">
      <c r="A5" s="1707" t="s">
        <v>833</v>
      </c>
      <c r="B5" s="1026">
        <f ca="1">IF(C5&lt;B2,"已过期",1119970074)</f>
        <v>1119970074</v>
      </c>
      <c r="C5" s="2349">
        <v>43849</v>
      </c>
      <c r="D5" s="2352" t="s">
        <v>833</v>
      </c>
      <c r="E5" s="1026">
        <f ca="1">IF(F5&lt;B2,"已过期",2002110027)</f>
        <v>2002110027</v>
      </c>
      <c r="F5" s="1034">
        <v>46752</v>
      </c>
    </row>
    <row r="6" spans="1:6" ht="24" customHeight="1">
      <c r="A6" s="1707" t="s">
        <v>834</v>
      </c>
      <c r="B6" s="1026">
        <f ca="1">IF(C6&lt;B2,"已过期",1119970111)</f>
        <v>1119970111</v>
      </c>
      <c r="C6" s="2349">
        <v>43849</v>
      </c>
      <c r="D6" s="2352" t="s">
        <v>834</v>
      </c>
      <c r="E6" s="1026">
        <f ca="1">IF(F6&lt;B2,"已过期",94010078)</f>
        <v>94010078</v>
      </c>
      <c r="F6" s="1034">
        <v>46387</v>
      </c>
    </row>
    <row r="7" spans="1:6" ht="24" customHeight="1">
      <c r="A7" s="1707" t="s">
        <v>835</v>
      </c>
      <c r="B7" s="1026">
        <f ca="1">IF(C7&lt;B2,"已过期",1120050019)</f>
        <v>1120050019</v>
      </c>
      <c r="C7" s="2349">
        <v>43359</v>
      </c>
      <c r="D7" s="2352" t="s">
        <v>835</v>
      </c>
      <c r="E7" s="1026">
        <f ca="1">IF(F7&lt;B2,"已过期",2002110030)</f>
        <v>2002110030</v>
      </c>
      <c r="F7" s="1034">
        <v>46387</v>
      </c>
    </row>
    <row r="8" spans="1:6" ht="24" customHeight="1">
      <c r="A8" s="1707" t="s">
        <v>836</v>
      </c>
      <c r="B8" s="1026">
        <f ca="1">IF(C8&lt;B2,"已过期",1120000080)</f>
        <v>1120000080</v>
      </c>
      <c r="C8" s="2349">
        <v>43849</v>
      </c>
      <c r="D8" s="2352" t="s">
        <v>836</v>
      </c>
      <c r="E8" s="1026">
        <f ca="1">IF(F8&lt;B2,"已过期",2000110082)</f>
        <v>2000110082</v>
      </c>
      <c r="F8" s="1034">
        <v>46387</v>
      </c>
    </row>
    <row r="9" spans="1:6" ht="24" customHeight="1">
      <c r="A9" s="1707" t="s">
        <v>837</v>
      </c>
      <c r="B9" s="1026">
        <f ca="1">IF(C9&lt;B2,"已过期",1419970001)</f>
        <v>1419970001</v>
      </c>
      <c r="C9" s="2349">
        <v>43867</v>
      </c>
      <c r="D9" s="2352" t="s">
        <v>837</v>
      </c>
      <c r="E9" s="1026">
        <f ca="1">IF(F9&lt;B2,"已过期",2002110125)</f>
        <v>2002110125</v>
      </c>
      <c r="F9" s="1034">
        <v>47118</v>
      </c>
    </row>
    <row r="10" spans="1:6" ht="24" customHeight="1">
      <c r="A10" s="1707" t="s">
        <v>838</v>
      </c>
      <c r="B10" s="1026">
        <f ca="1">IF(C10&lt;B2,"已过期",1120060040)</f>
        <v>1120060040</v>
      </c>
      <c r="C10" s="2349">
        <v>43483</v>
      </c>
      <c r="D10" s="2352" t="s">
        <v>838</v>
      </c>
      <c r="E10" s="1026">
        <f ca="1">IF(F10&lt;B2,"已过期",2004110096)</f>
        <v>2004110096</v>
      </c>
      <c r="F10" s="1034">
        <v>47118</v>
      </c>
    </row>
    <row r="11" spans="1:6" ht="24" customHeight="1">
      <c r="A11" s="1707" t="s">
        <v>839</v>
      </c>
      <c r="B11" s="1026">
        <f ca="1">IF(C11&lt;B2,"已过期",1120100036)</f>
        <v>1120100036</v>
      </c>
      <c r="C11" s="2349">
        <v>43622</v>
      </c>
      <c r="D11" s="2352" t="s">
        <v>839</v>
      </c>
      <c r="E11" s="1026">
        <f ca="1">IF(F11&lt;B2,"已过期",2010110070)</f>
        <v>2010110070</v>
      </c>
      <c r="F11" s="1034">
        <v>47907</v>
      </c>
    </row>
    <row r="12" spans="1:6" ht="24" customHeight="1">
      <c r="A12" s="1707"/>
      <c r="B12" s="1026"/>
      <c r="C12" s="2349"/>
      <c r="D12" s="2352"/>
      <c r="E12" s="1026"/>
      <c r="F12" s="1026"/>
    </row>
    <row r="13" spans="1:6" ht="24" customHeight="1">
      <c r="A13" s="1707" t="s">
        <v>840</v>
      </c>
      <c r="B13" s="1026">
        <f ca="1">IF(C13&lt;B2,"已过期",1120070131)</f>
        <v>1120070131</v>
      </c>
      <c r="C13" s="2349">
        <v>43814</v>
      </c>
      <c r="D13" s="2352" t="s">
        <v>840</v>
      </c>
      <c r="E13" s="1026">
        <v>2014110011</v>
      </c>
      <c r="F13" s="1034">
        <v>49302</v>
      </c>
    </row>
    <row r="14" spans="1:6" ht="24" customHeight="1">
      <c r="A14" s="1707" t="s">
        <v>841</v>
      </c>
      <c r="B14" s="1026">
        <f ca="1">IF(C14&lt;B2,"已过期",1120130020)</f>
        <v>1120130020</v>
      </c>
      <c r="C14" s="2349">
        <v>43622</v>
      </c>
      <c r="D14" s="2352"/>
      <c r="E14" s="1026"/>
      <c r="F14" s="1026"/>
    </row>
    <row r="15" spans="1:6" ht="24" customHeight="1">
      <c r="A15" s="1708" t="s">
        <v>1149</v>
      </c>
      <c r="B15" s="1026">
        <v>1120070085</v>
      </c>
      <c r="C15" s="2349">
        <v>43814</v>
      </c>
      <c r="D15" s="2353" t="s">
        <v>1149</v>
      </c>
      <c r="E15" s="1026">
        <v>2004110128</v>
      </c>
      <c r="F15" s="1027">
        <v>47118</v>
      </c>
    </row>
    <row r="16" spans="1:6" ht="24" customHeight="1">
      <c r="A16" s="1707" t="s">
        <v>842</v>
      </c>
      <c r="B16" s="1026">
        <f ca="1">IF(C16&lt;B2,"已过期",1120140022)</f>
        <v>1120140022</v>
      </c>
      <c r="C16" s="2349">
        <v>44029</v>
      </c>
      <c r="D16" s="2352" t="s">
        <v>842</v>
      </c>
      <c r="E16" s="1026">
        <f ca="1">IF(F16&lt;B2,"已过期",2008110059)</f>
        <v>2008110059</v>
      </c>
      <c r="F16" s="1034">
        <v>47177</v>
      </c>
    </row>
    <row r="17" spans="1:7" ht="24" customHeight="1">
      <c r="A17" s="1707"/>
      <c r="B17" s="1026"/>
      <c r="C17" s="2349"/>
      <c r="D17" s="2352"/>
      <c r="E17" s="1026"/>
      <c r="F17" s="1034"/>
    </row>
    <row r="18" spans="1:7" ht="24" customHeight="1">
      <c r="A18" s="1707"/>
      <c r="B18" s="1026"/>
      <c r="C18" s="2349"/>
      <c r="D18" s="2352"/>
      <c r="E18" s="1026"/>
      <c r="F18" s="1034"/>
    </row>
    <row r="19" spans="1:7" ht="24" customHeight="1">
      <c r="A19" s="1707"/>
      <c r="B19" s="1026"/>
      <c r="C19" s="2349"/>
      <c r="D19" s="2352"/>
      <c r="E19" s="1026"/>
      <c r="F19" s="1026"/>
    </row>
    <row r="20" spans="1:7" ht="24" customHeight="1">
      <c r="A20" s="1707"/>
      <c r="B20" s="1026"/>
      <c r="C20" s="2349"/>
      <c r="D20" s="2352"/>
      <c r="E20" s="1026"/>
      <c r="F20" s="1026"/>
    </row>
    <row r="21" spans="1:7" ht="24" customHeight="1">
      <c r="A21" s="1707"/>
      <c r="B21" s="1026"/>
      <c r="C21" s="2349"/>
      <c r="D21" s="2352" t="s">
        <v>843</v>
      </c>
      <c r="E21" s="1026">
        <f ca="1">IF(F21&lt;B2,"已过期",2011110090)</f>
        <v>2011110090</v>
      </c>
      <c r="F21" s="1034">
        <v>48302</v>
      </c>
    </row>
    <row r="22" spans="1:7" ht="24" customHeight="1">
      <c r="A22" s="1707" t="s">
        <v>844</v>
      </c>
      <c r="B22" s="1026">
        <f ca="1">IF(C22&lt;B2,"已过期",1120020033)</f>
        <v>1120020033</v>
      </c>
      <c r="C22" s="2349">
        <v>43304</v>
      </c>
      <c r="D22" s="2352" t="s">
        <v>844</v>
      </c>
      <c r="E22" s="1026">
        <f ca="1">IF(F22&lt;B2,"已过期",2000110137)</f>
        <v>2000110137</v>
      </c>
      <c r="F22" s="1034">
        <v>46387</v>
      </c>
    </row>
    <row r="23" spans="1:7" ht="24" customHeight="1">
      <c r="A23" s="1707" t="s">
        <v>845</v>
      </c>
      <c r="B23" s="1026">
        <f ca="1">IF(C23&lt;B2,"已过期",1120130048)</f>
        <v>1120130048</v>
      </c>
      <c r="C23" s="2349">
        <v>43686</v>
      </c>
      <c r="D23" s="2352"/>
      <c r="E23" s="1026"/>
      <c r="F23" s="1026"/>
    </row>
    <row r="24" spans="1:7" s="1028" customFormat="1" ht="24" customHeight="1">
      <c r="A24" s="1708" t="s">
        <v>1334</v>
      </c>
      <c r="B24" s="1708" t="s">
        <v>1334</v>
      </c>
      <c r="C24" s="2350" t="s">
        <v>1334</v>
      </c>
      <c r="D24" s="2353" t="s">
        <v>1334</v>
      </c>
      <c r="E24" s="1708" t="s">
        <v>1334</v>
      </c>
      <c r="F24" s="1708" t="s">
        <v>1334</v>
      </c>
    </row>
    <row r="25" spans="1:7" ht="24" customHeight="1">
      <c r="A25" s="3135" t="s">
        <v>846</v>
      </c>
      <c r="B25" s="3135"/>
      <c r="C25" s="3135"/>
      <c r="D25" s="3135"/>
      <c r="E25" s="3135"/>
      <c r="F25" s="3135"/>
      <c r="G25" s="3135"/>
    </row>
    <row r="26" spans="1:7" s="1029" customFormat="1" ht="24" customHeight="1">
      <c r="A26" s="3136" t="s">
        <v>847</v>
      </c>
      <c r="B26" s="3136"/>
      <c r="C26" s="3137"/>
      <c r="D26" s="3138" t="s">
        <v>848</v>
      </c>
      <c r="E26" s="3136"/>
      <c r="F26" s="3136"/>
    </row>
    <row r="27" spans="1:7" s="1031" customFormat="1" ht="24" customHeight="1">
      <c r="A27" s="1030" t="s">
        <v>849</v>
      </c>
      <c r="B27" s="1025" t="s">
        <v>850</v>
      </c>
      <c r="C27" s="2348" t="s">
        <v>851</v>
      </c>
      <c r="D27" s="2356" t="s">
        <v>849</v>
      </c>
      <c r="E27" s="1025" t="s">
        <v>850</v>
      </c>
      <c r="F27" s="1025" t="s">
        <v>851</v>
      </c>
    </row>
    <row r="28" spans="1:7" s="1031" customFormat="1" ht="24" customHeight="1">
      <c r="A28" s="1032" t="s">
        <v>852</v>
      </c>
      <c r="B28" s="1033" t="s">
        <v>853</v>
      </c>
      <c r="C28" s="2354">
        <v>43725</v>
      </c>
      <c r="D28" s="2357" t="s">
        <v>854</v>
      </c>
      <c r="E28" s="1032" t="s">
        <v>855</v>
      </c>
      <c r="F28" s="1062">
        <v>44377</v>
      </c>
    </row>
    <row r="29" spans="1:7" s="1031" customFormat="1" ht="24" customHeight="1">
      <c r="A29" s="1032"/>
      <c r="B29" s="1032"/>
      <c r="C29" s="2355"/>
      <c r="D29" s="2357"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收益法-车库</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'收益法-车库'!Print_Area</vt:lpstr>
      <vt:lpstr>'收益法-商业已租'!Print_Area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2018-05-05T15:15:13Z</dcterms:modified>
</cp:coreProperties>
</file>