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35" activeTab="6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state="hidden" r:id="rId20"/>
    <sheet name="基准地价修正（地上2层）" sheetId="43" state="hidden" r:id="rId21"/>
    <sheet name="基准地价修正（地上1层）" sheetId="100" state="hidden" r:id="rId22"/>
    <sheet name="假设开发法" sheetId="12" state="hidden" r:id="rId23"/>
    <sheet name="比较法-办公" sheetId="34" state="hidden" r:id="rId24"/>
    <sheet name="比较法-办公已租" sheetId="86" r:id="rId25"/>
    <sheet name="典型户型修正-已租" sheetId="31" state="hidden" r:id="rId26"/>
    <sheet name="收益法-办公已租" sheetId="15" r:id="rId27"/>
    <sheet name="收益法-办公未租" sheetId="88" r:id="rId28"/>
    <sheet name="收益法 (元)" sheetId="67" state="hidden" r:id="rId29"/>
    <sheet name="比较法-办公租金" sheetId="83" r:id="rId30"/>
    <sheet name="结果表-办公" sheetId="93" r:id="rId31"/>
    <sheet name="结果表-办公已租" sheetId="89" state="hidden" r:id="rId32"/>
    <sheet name="比较法-办公未租（2）" sheetId="87" state="hidden" r:id="rId33"/>
    <sheet name="比较法-办公未租" sheetId="92" state="hidden" r:id="rId34"/>
    <sheet name="结果表-办公未租" sheetId="90" state="hidden" r:id="rId35"/>
    <sheet name="比较法-商业" sheetId="33" r:id="rId36"/>
    <sheet name="典型户型修正" sheetId="91" r:id="rId37"/>
    <sheet name="比较法-商业租金" sheetId="94" r:id="rId38"/>
    <sheet name="收益法-商业已租" sheetId="77" r:id="rId39"/>
    <sheet name="收益法（汇总）" sheetId="70"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修正" sheetId="45" state="hidden" r:id="rId48"/>
    <sheet name="容积率修正" sheetId="46" state="hidden" r:id="rId49"/>
    <sheet name="典型户型修正-租金" sheetId="95" r:id="rId50"/>
    <sheet name="收益法-未租商业" sheetId="78"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 name="Sheet3" sheetId="79" state="hidden" r:id="rId59"/>
    <sheet name="Sheet4" sheetId="80" state="hidden" r:id="rId60"/>
    <sheet name="结果表-商业" sheetId="96" r:id="rId61"/>
    <sheet name="Sheet5" sheetId="81" r:id="rId62"/>
    <sheet name="租约" sheetId="82" r:id="rId63"/>
    <sheet name="面积" sheetId="84" r:id="rId64"/>
    <sheet name="市场租金" sheetId="85" r:id="rId65"/>
  </sheets>
  <externalReferences>
    <externalReference r:id="rId66"/>
    <externalReference r:id="rId67"/>
  </externalReferences>
  <definedNames>
    <definedName name="_xlnm._FilterDatabase" localSheetId="23" hidden="1">'比较法-办公'!$A$1:$L$50</definedName>
    <definedName name="_xlnm._FilterDatabase" localSheetId="33" hidden="1">'比较法-办公未租'!$A$1:$L$50</definedName>
    <definedName name="_xlnm._FilterDatabase" localSheetId="32" hidden="1">'比较法-办公未租（2）'!$A$1:$L$50</definedName>
    <definedName name="_xlnm._FilterDatabase" localSheetId="24" hidden="1">'比较法-办公已租'!$A$1:$L$50</definedName>
    <definedName name="_xlnm._FilterDatabase" localSheetId="29" hidden="1">'比较法-办公租金'!$A$1:$L$50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5" hidden="1">'比较法-商业'!$A$1:$L$49</definedName>
    <definedName name="_xlnm._FilterDatabase" localSheetId="37" hidden="1">'比较法-商业租金'!$A$1:$L$49</definedName>
    <definedName name="_xlnm._FilterDatabase" localSheetId="41"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'收益法-办公未租'!$A$1:$AK$69</definedName>
    <definedName name="_xlnm.Print_Area" localSheetId="26">'收益法-办公已租'!$A$1:$AK$69</definedName>
    <definedName name="_xlnm.Print_Area" localSheetId="38">'收益法-商业已租'!$A$1:$AK$69</definedName>
    <definedName name="_xlnm.Print_Area" localSheetId="50">'收益法-未租商业'!$A$1:$AK$69</definedName>
    <definedName name="_xlnm.Print_Area" localSheetId="13">'数据-汇总表'!$A$1:$P$32</definedName>
    <definedName name="八级">区片价!$O$1:$O$40</definedName>
    <definedName name="办公层高" localSheetId="33">'比较法-办公未租'!$B$119:$M$119</definedName>
    <definedName name="办公层高" localSheetId="32">'比较法-办公未租（2）'!$B$119:$M$119</definedName>
    <definedName name="办公层高" localSheetId="24">'比较法-办公已租'!$B$119:$M$119</definedName>
    <definedName name="办公层高" localSheetId="29">'比较法-办公租金'!$B$119:$M$119</definedName>
    <definedName name="办公层高">'比较法-办公'!$B$119:$M$119</definedName>
    <definedName name="办公朝向" localSheetId="33">'比较法-办公未租'!$B$91:$M$91</definedName>
    <definedName name="办公朝向" localSheetId="32">'比较法-办公未租（2）'!$B$91:$M$91</definedName>
    <definedName name="办公朝向" localSheetId="24">'比较法-办公已租'!$B$91:$M$91</definedName>
    <definedName name="办公朝向" localSheetId="29">'比较法-办公租金'!$B$91:$M$91</definedName>
    <definedName name="办公朝向">'比较法-办公'!$B$91:$M$91</definedName>
    <definedName name="办公道路级别" localSheetId="33">'比较法-办公未租'!$B$87:$M$87</definedName>
    <definedName name="办公道路级别" localSheetId="32">'比较法-办公未租（2）'!$B$87:$M$87</definedName>
    <definedName name="办公道路级别" localSheetId="24">'比较法-办公已租'!$B$87:$M$87</definedName>
    <definedName name="办公道路级别" localSheetId="29">'比较法-办公租金'!$B$87:$M$87</definedName>
    <definedName name="办公道路级别">'比较法-办公'!$B$87:$M$87</definedName>
    <definedName name="办公公共部分装修" localSheetId="33">'比较法-办公未租'!$B$108:$M$108</definedName>
    <definedName name="办公公共部分装修" localSheetId="32">'比较法-办公未租（2）'!$B$108:$M$108</definedName>
    <definedName name="办公公共部分装修" localSheetId="24">'比较法-办公已租'!$B$108:$M$108</definedName>
    <definedName name="办公公共部分装修" localSheetId="29">'比较法-办公租金'!$B$108:$M$108</definedName>
    <definedName name="办公公共部分装修">'比较法-办公'!$B$108:$M$108</definedName>
    <definedName name="办公基础设施水平" localSheetId="33">'比较法-办公未租'!$B$117:$M$117</definedName>
    <definedName name="办公基础设施水平" localSheetId="32">'比较法-办公未租（2）'!$B$117:$M$117</definedName>
    <definedName name="办公基础设施水平" localSheetId="24">'比较法-办公已租'!$B$117:$M$117</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33">'比较法-办公未租'!$B$106:$M$106</definedName>
    <definedName name="办公建筑结构" localSheetId="32">'比较法-办公未租（2）'!$B$106:$M$106</definedName>
    <definedName name="办公建筑结构" localSheetId="24">'比较法-办公已租'!$B$106:$M$106</definedName>
    <definedName name="办公建筑结构" localSheetId="29">'比较法-办公租金'!$B$106:$M$106</definedName>
    <definedName name="办公建筑结构">'比较法-办公'!$B$106:$M$106</definedName>
    <definedName name="办公建筑类型" localSheetId="33">'比较法-办公未租'!$B$101:$M$101</definedName>
    <definedName name="办公建筑类型" localSheetId="32">'比较法-办公未租（2）'!$B$101:$M$101</definedName>
    <definedName name="办公建筑类型" localSheetId="24">'比较法-办公已租'!$B$101:$M$101</definedName>
    <definedName name="办公建筑类型" localSheetId="29">'比较法-办公租金'!$B$101:$M$101</definedName>
    <definedName name="办公建筑类型">'比较法-办公'!$B$101:$M$101</definedName>
    <definedName name="办公交易情况" localSheetId="33">'比较法-办公未租'!$A$62:$M$62</definedName>
    <definedName name="办公交易情况" localSheetId="32">'比较法-办公未租（2）'!$A$62:$M$62</definedName>
    <definedName name="办公交易情况" localSheetId="24">'比较法-办公已租'!$A$62:$M$62</definedName>
    <definedName name="办公交易情况" localSheetId="29">'比较法-办公租金'!$A$62:$M$62</definedName>
    <definedName name="办公交易情况">'比较法-办公'!$A$62:$M$62</definedName>
    <definedName name="办公楼层" localSheetId="33">'比较法-办公未租'!$B$89:$M$89</definedName>
    <definedName name="办公楼层" localSheetId="32">'比较法-办公未租（2）'!$B$89:$M$89</definedName>
    <definedName name="办公楼层" localSheetId="24">'比较法-办公已租'!$B$89:$M$89</definedName>
    <definedName name="办公楼层" localSheetId="29">'比较法-办公租金'!$B$89:$M$89</definedName>
    <definedName name="办公楼层">'比较法-办公'!$B$89:$M$89</definedName>
    <definedName name="办公内部装修" localSheetId="33">'比较法-办公未租'!$B$123:$M$123</definedName>
    <definedName name="办公内部装修" localSheetId="32">'比较法-办公未租（2）'!$B$123:$M$123</definedName>
    <definedName name="办公内部装修" localSheetId="24">'比较法-办公已租'!$B$123:$M$123</definedName>
    <definedName name="办公内部装修" localSheetId="29">'比较法-办公租金'!$B$123:$M$123</definedName>
    <definedName name="办公内部装修">'比较法-办公'!$B$123:$M$123</definedName>
    <definedName name="办公物业管理" localSheetId="33">'比较法-办公未租'!$B$115:$M$115</definedName>
    <definedName name="办公物业管理" localSheetId="32">'比较法-办公未租（2）'!$B$115:$M$115</definedName>
    <definedName name="办公物业管理" localSheetId="24">'比较法-办公已租'!$B$115:$M$115</definedName>
    <definedName name="办公物业管理" localSheetId="29">'比较法-办公租金'!$B$115:$M$115</definedName>
    <definedName name="办公物业管理">'比较法-办公'!$B$115:$M$115</definedName>
    <definedName name="办公用途" localSheetId="33">'比较法-办公未租'!$B$64:$M$64</definedName>
    <definedName name="办公用途" localSheetId="32">'比较法-办公未租（2）'!$B$64:$M$64</definedName>
    <definedName name="办公用途" localSheetId="24">'比较法-办公已租'!$B$64:$M$64</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'基准地价修正（地上1层）'!$Q$19:$AD$19</definedName>
    <definedName name="季度">'基准地价修正（地上2层）'!$Q$19:$AD$19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7">'比较法-商业租金'!$B$116:$M$116</definedName>
    <definedName name="商业层高">'比较法-商业'!$B$116:$M$116</definedName>
    <definedName name="商业成新度" localSheetId="37">'比较法-商业租金'!$B$109:$M$109</definedName>
    <definedName name="商业成新度">'比较法-商业'!$B$109:$M$109</definedName>
    <definedName name="商业繁华度">定义!$L$1:$L$6</definedName>
    <definedName name="商业公共部分装修" localSheetId="37">'比较法-商业租金'!$B$107:$M$107</definedName>
    <definedName name="商业公共部分装修">'比较法-商业'!$B$107:$M$107</definedName>
    <definedName name="商业基础设施水平" localSheetId="37">'比较法-商业租金'!$B$112:$M$112</definedName>
    <definedName name="商业基础设施水平">'比较法-商业'!$B$112:$M$112</definedName>
    <definedName name="商业建筑结构" localSheetId="37">'比较法-商业租金'!$B$105:$M$105</definedName>
    <definedName name="商业建筑结构">'比较法-商业'!$B$105:$M$105</definedName>
    <definedName name="商业交易情况" localSheetId="37">'比较法-商业租金'!$A$61:$M$61</definedName>
    <definedName name="商业交易情况">'比较法-商业'!$A$61:$M$61</definedName>
    <definedName name="商业街名称">修正!$C$59:$C$119</definedName>
    <definedName name="商业进深比" localSheetId="37">'比较法-商业租金'!$B$120:$M$120</definedName>
    <definedName name="商业进深比">'比较法-商业'!$B$120:$M$120</definedName>
    <definedName name="商业类型" localSheetId="37">'比较法-商业租金'!$B$100:$M$100</definedName>
    <definedName name="商业类型">'比较法-商业'!$B$100:$M$100</definedName>
    <definedName name="商业临街状况" localSheetId="37">'比较法-商业租金'!$B$86:$M$86</definedName>
    <definedName name="商业临街状况">'比较法-商业'!$B$86:$M$86</definedName>
    <definedName name="商业楼层" localSheetId="37">'比较法-商业租金'!$B$92:$M$92</definedName>
    <definedName name="商业楼层">'比较法-商业'!$B$92:$M$92</definedName>
    <definedName name="商业内部装修" localSheetId="37">'比较法-商业租金'!$B$122:$M$122</definedName>
    <definedName name="商业内部装修">'比较法-商业'!$B$122:$M$122</definedName>
    <definedName name="商业人流量" localSheetId="37">'比较法-商业租金'!$B$90:$M$90</definedName>
    <definedName name="商业人流量">'比较法-商业'!$B$90:$M$90</definedName>
    <definedName name="商业业态" localSheetId="37">'比较法-商业租金'!$B$114:$M$114</definedName>
    <definedName name="商业业态">'比较法-商业'!$B$114:$M$114</definedName>
    <definedName name="商业用途" localSheetId="3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'比较法-办公未租'!$B$113:$M$113</definedName>
    <definedName name="写字楼等级" localSheetId="32">'比较法-办公未租（2）'!$B$113:$M$113</definedName>
    <definedName name="写字楼等级" localSheetId="24">'比较法-办公已租'!$B$113:$M$113</definedName>
    <definedName name="写字楼等级" localSheetId="29">'比较法-办公租金'!$B$113:$M$113</definedName>
    <definedName name="写字楼等级">'比较法-办公'!$B$113:$M$113</definedName>
    <definedName name="一级">区片价!$H$1:$H$6</definedName>
    <definedName name="一修多修正项2" localSheetId="36">典型户型修正!$5:$5</definedName>
    <definedName name="一修多修正项2" localSheetId="49">'典型户型修正-租金'!$5:$5</definedName>
    <definedName name="一修多修正项2">'典型户型修正-已租'!$5:$5</definedName>
    <definedName name="一修多修正项3" localSheetId="36">典型户型修正!$7:$7</definedName>
    <definedName name="一修多修正项3" localSheetId="49">'典型户型修正-租金'!$7:$7</definedName>
    <definedName name="一修多修正项3">'典型户型修正-已租'!$7:$7</definedName>
    <definedName name="一修多修正项4" localSheetId="36">典型户型修正!$9:$9</definedName>
    <definedName name="一修多修正项4" localSheetId="49">'典型户型修正-租金'!$9:$9</definedName>
    <definedName name="一修多修正项4">'典型户型修正-已租'!$9:$9</definedName>
    <definedName name="一修多修正项5" localSheetId="36">典型户型修正!$11:$11</definedName>
    <definedName name="一修多修正项5" localSheetId="49">'典型户型修正-租金'!$11:$11</definedName>
    <definedName name="一修多修正项5">'典型户型修正-已租'!$11:$11</definedName>
    <definedName name="一修多修正项6" localSheetId="36">典型户型修正!$13:$13</definedName>
    <definedName name="一修多修正项6" localSheetId="49">'典型户型修正-租金'!$13:$13</definedName>
    <definedName name="一修多修正项6">'典型户型修正-已租'!$13:$13</definedName>
    <definedName name="一修多修正项7" localSheetId="36">典型户型修正!$15:$15</definedName>
    <definedName name="一修多修正项7" localSheetId="49">'典型户型修正-租金'!$15:$15</definedName>
    <definedName name="一修多修正项7">'典型户型修正-已租'!$15:$15</definedName>
    <definedName name="一修多修正项8" localSheetId="36">典型户型修正!$17:$17</definedName>
    <definedName name="一修多修正项8" localSheetId="49">'典型户型修正-租金'!$17:$17</definedName>
    <definedName name="一修多修正项8">'典型户型修正-已租'!$17:$17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7" i="96" l="1"/>
  <c r="E18" i="96" l="1"/>
  <c r="I48" i="86" l="1"/>
  <c r="G48" i="86"/>
  <c r="E48" i="86"/>
  <c r="G47" i="33" l="1"/>
  <c r="E47" i="33"/>
  <c r="I47" i="33"/>
  <c r="AD8" i="1" l="1"/>
  <c r="AD6" i="1"/>
  <c r="N7" i="1"/>
  <c r="N8" i="1"/>
  <c r="N9" i="1"/>
  <c r="N6" i="1"/>
  <c r="B26" i="91" l="1"/>
  <c r="B25" i="91"/>
  <c r="W9" i="1"/>
  <c r="V9" i="1"/>
  <c r="AF8" i="1"/>
  <c r="AB8" i="1"/>
  <c r="AA8" i="1"/>
  <c r="AF6" i="1"/>
  <c r="AB6" i="1"/>
  <c r="AA6" i="1"/>
  <c r="Y6" i="1"/>
  <c r="N14" i="1"/>
  <c r="F21" i="6"/>
  <c r="Y8" i="1" l="1"/>
  <c r="Y9" i="1" s="1"/>
  <c r="Y7" i="1"/>
  <c r="F113" i="100"/>
  <c r="N99" i="100"/>
  <c r="M99" i="100"/>
  <c r="L99" i="100"/>
  <c r="K99" i="100"/>
  <c r="J99" i="100"/>
  <c r="I99" i="100"/>
  <c r="H99" i="100"/>
  <c r="G99" i="100"/>
  <c r="F99" i="100"/>
  <c r="E99" i="100"/>
  <c r="D99" i="100"/>
  <c r="D108" i="100" s="1"/>
  <c r="C99" i="100"/>
  <c r="M88" i="100"/>
  <c r="N88" i="100" s="1"/>
  <c r="K88" i="100"/>
  <c r="J88" i="100" s="1"/>
  <c r="D88" i="100"/>
  <c r="M87" i="100"/>
  <c r="N87" i="100" s="1"/>
  <c r="K87" i="100"/>
  <c r="J87" i="100" s="1"/>
  <c r="D87" i="100"/>
  <c r="M86" i="100"/>
  <c r="N86" i="100" s="1"/>
  <c r="K86" i="100"/>
  <c r="J86" i="100" s="1"/>
  <c r="D86" i="100"/>
  <c r="M85" i="100"/>
  <c r="N85" i="100" s="1"/>
  <c r="K85" i="100"/>
  <c r="J85" i="100" s="1"/>
  <c r="D85" i="100"/>
  <c r="M84" i="100"/>
  <c r="N84" i="100" s="1"/>
  <c r="K84" i="100"/>
  <c r="J84" i="100" s="1"/>
  <c r="D84" i="100"/>
  <c r="B84" i="100"/>
  <c r="M83" i="100"/>
  <c r="N83" i="100" s="1"/>
  <c r="K83" i="100"/>
  <c r="J83" i="100" s="1"/>
  <c r="D83" i="100"/>
  <c r="B83" i="100"/>
  <c r="M82" i="100"/>
  <c r="N82" i="100" s="1"/>
  <c r="K82" i="100"/>
  <c r="J82" i="100"/>
  <c r="D82" i="100"/>
  <c r="M81" i="100"/>
  <c r="N81" i="100" s="1"/>
  <c r="K81" i="100"/>
  <c r="J81" i="100" s="1"/>
  <c r="F81" i="100"/>
  <c r="H88" i="100" s="1"/>
  <c r="D81" i="100"/>
  <c r="M78" i="100"/>
  <c r="N78" i="100" s="1"/>
  <c r="K78" i="100"/>
  <c r="J78" i="100" s="1"/>
  <c r="D78" i="100"/>
  <c r="M77" i="100"/>
  <c r="N77" i="100" s="1"/>
  <c r="K77" i="100"/>
  <c r="J77" i="100"/>
  <c r="D77" i="100"/>
  <c r="M76" i="100"/>
  <c r="N76" i="100" s="1"/>
  <c r="K76" i="100"/>
  <c r="J76" i="100" s="1"/>
  <c r="D76" i="100"/>
  <c r="M75" i="100"/>
  <c r="N75" i="100" s="1"/>
  <c r="K75" i="100"/>
  <c r="J75" i="100" s="1"/>
  <c r="D75" i="100"/>
  <c r="M74" i="100"/>
  <c r="N74" i="100" s="1"/>
  <c r="K74" i="100"/>
  <c r="J74" i="100" s="1"/>
  <c r="D74" i="100"/>
  <c r="M73" i="100"/>
  <c r="N73" i="100" s="1"/>
  <c r="K73" i="100"/>
  <c r="J73" i="100" s="1"/>
  <c r="D73" i="100"/>
  <c r="M72" i="100"/>
  <c r="N72" i="100" s="1"/>
  <c r="K72" i="100"/>
  <c r="J72" i="100" s="1"/>
  <c r="D72" i="100"/>
  <c r="B72" i="100"/>
  <c r="M71" i="100"/>
  <c r="N71" i="100" s="1"/>
  <c r="K71" i="100"/>
  <c r="J71" i="100" s="1"/>
  <c r="D71" i="100"/>
  <c r="M70" i="100"/>
  <c r="N70" i="100" s="1"/>
  <c r="K70" i="100"/>
  <c r="J70" i="100" s="1"/>
  <c r="F70" i="100"/>
  <c r="H78" i="100" s="1"/>
  <c r="D70" i="100"/>
  <c r="E70" i="100" s="1"/>
  <c r="B68" i="100" s="1"/>
  <c r="M67" i="100"/>
  <c r="N67" i="100" s="1"/>
  <c r="K67" i="100"/>
  <c r="J67" i="100"/>
  <c r="D67" i="100"/>
  <c r="M66" i="100"/>
  <c r="N66" i="100" s="1"/>
  <c r="K66" i="100"/>
  <c r="J66" i="100" s="1"/>
  <c r="D66" i="100"/>
  <c r="M65" i="100"/>
  <c r="N65" i="100" s="1"/>
  <c r="K65" i="100"/>
  <c r="J65" i="100" s="1"/>
  <c r="D65" i="100"/>
  <c r="M64" i="100"/>
  <c r="N64" i="100" s="1"/>
  <c r="K64" i="100"/>
  <c r="J64" i="100" s="1"/>
  <c r="D64" i="100"/>
  <c r="M63" i="100"/>
  <c r="N63" i="100" s="1"/>
  <c r="K63" i="100"/>
  <c r="J63" i="100" s="1"/>
  <c r="D63" i="100"/>
  <c r="M62" i="100"/>
  <c r="N62" i="100" s="1"/>
  <c r="K62" i="100"/>
  <c r="J62" i="100" s="1"/>
  <c r="D62" i="100"/>
  <c r="M61" i="100"/>
  <c r="N61" i="100" s="1"/>
  <c r="K61" i="100"/>
  <c r="J61" i="100"/>
  <c r="D61" i="100"/>
  <c r="B61" i="100"/>
  <c r="M60" i="100"/>
  <c r="N60" i="100" s="1"/>
  <c r="K60" i="100"/>
  <c r="J60" i="100" s="1"/>
  <c r="D60" i="100"/>
  <c r="M59" i="100"/>
  <c r="N59" i="100" s="1"/>
  <c r="K59" i="100"/>
  <c r="J59" i="100" s="1"/>
  <c r="F59" i="100"/>
  <c r="H67" i="100" s="1"/>
  <c r="D59" i="100"/>
  <c r="M56" i="100"/>
  <c r="N56" i="100" s="1"/>
  <c r="K56" i="100"/>
  <c r="J56" i="100"/>
  <c r="D56" i="100"/>
  <c r="M55" i="100"/>
  <c r="N55" i="100" s="1"/>
  <c r="K55" i="100"/>
  <c r="J55" i="100" s="1"/>
  <c r="D55" i="100" s="1"/>
  <c r="M54" i="100"/>
  <c r="N54" i="100" s="1"/>
  <c r="K54" i="100"/>
  <c r="J54" i="100" s="1"/>
  <c r="D54" i="100" s="1"/>
  <c r="M53" i="100"/>
  <c r="N53" i="100" s="1"/>
  <c r="K53" i="100"/>
  <c r="J53" i="100" s="1"/>
  <c r="M52" i="100"/>
  <c r="N52" i="100" s="1"/>
  <c r="K52" i="100"/>
  <c r="J52" i="100" s="1"/>
  <c r="D52" i="100" s="1"/>
  <c r="M51" i="100"/>
  <c r="N51" i="100" s="1"/>
  <c r="K51" i="100"/>
  <c r="D51" i="100" s="1"/>
  <c r="M50" i="100"/>
  <c r="N50" i="100" s="1"/>
  <c r="K50" i="100"/>
  <c r="D50" i="100" s="1"/>
  <c r="B50" i="100"/>
  <c r="N49" i="100"/>
  <c r="M49" i="100"/>
  <c r="K49" i="100"/>
  <c r="J49" i="100" s="1"/>
  <c r="D49" i="100" s="1"/>
  <c r="M48" i="100"/>
  <c r="N48" i="100" s="1"/>
  <c r="K48" i="100"/>
  <c r="J48" i="100" s="1"/>
  <c r="B48" i="100"/>
  <c r="D39" i="100"/>
  <c r="H39" i="100" s="1"/>
  <c r="H38" i="100"/>
  <c r="H37" i="100"/>
  <c r="H36" i="100"/>
  <c r="H35" i="100"/>
  <c r="J20" i="100"/>
  <c r="I19" i="100"/>
  <c r="C18" i="100"/>
  <c r="F15" i="100"/>
  <c r="E15" i="100"/>
  <c r="D15" i="100"/>
  <c r="C12" i="100" s="1"/>
  <c r="C15" i="100"/>
  <c r="AJ12" i="100"/>
  <c r="AB12" i="100"/>
  <c r="Y12" i="100"/>
  <c r="Y10" i="100"/>
  <c r="C10" i="100"/>
  <c r="C11" i="100" s="1"/>
  <c r="AJ9" i="100"/>
  <c r="AJ10" i="100" s="1"/>
  <c r="AI9" i="100"/>
  <c r="AI12" i="100" s="1"/>
  <c r="AH9" i="100"/>
  <c r="AH10" i="100" s="1"/>
  <c r="AG9" i="100"/>
  <c r="AG12" i="100" s="1"/>
  <c r="AF9" i="100"/>
  <c r="AF10" i="100" s="1"/>
  <c r="AE9" i="100"/>
  <c r="AE12" i="100" s="1"/>
  <c r="AD9" i="100"/>
  <c r="AD10" i="100" s="1"/>
  <c r="AC9" i="100"/>
  <c r="AC12" i="100" s="1"/>
  <c r="AB9" i="100"/>
  <c r="AB10" i="100" s="1"/>
  <c r="AA9" i="100"/>
  <c r="AA12" i="100" s="1"/>
  <c r="Z9" i="100"/>
  <c r="Z10" i="100" s="1"/>
  <c r="C9" i="100"/>
  <c r="C7" i="100"/>
  <c r="A7" i="100"/>
  <c r="I2" i="100"/>
  <c r="M1" i="100" s="1"/>
  <c r="G2" i="100"/>
  <c r="X7" i="100" s="1"/>
  <c r="D39" i="43"/>
  <c r="D33" i="43"/>
  <c r="AN14" i="3"/>
  <c r="AL14" i="3"/>
  <c r="O14" i="3"/>
  <c r="I14" i="3"/>
  <c r="M31" i="84"/>
  <c r="D34" i="100" s="1"/>
  <c r="H34" i="100" s="1"/>
  <c r="K31" i="84"/>
  <c r="D33" i="100" s="1"/>
  <c r="H33" i="100" s="1"/>
  <c r="K28" i="84"/>
  <c r="M28" i="84" s="1"/>
  <c r="D29" i="43" s="1"/>
  <c r="H81" i="100" l="1"/>
  <c r="E59" i="100"/>
  <c r="B57" i="100" s="1"/>
  <c r="E81" i="100"/>
  <c r="B79" i="100" s="1"/>
  <c r="AD12" i="100"/>
  <c r="J50" i="100"/>
  <c r="J51" i="100"/>
  <c r="D29" i="100"/>
  <c r="D1" i="100" s="1"/>
  <c r="D34" i="43"/>
  <c r="AF12" i="100"/>
  <c r="D48" i="100"/>
  <c r="Z12" i="100"/>
  <c r="AH12" i="100"/>
  <c r="H70" i="100"/>
  <c r="E11" i="100"/>
  <c r="E10" i="100"/>
  <c r="E9" i="100"/>
  <c r="E8" i="100"/>
  <c r="M12" i="100"/>
  <c r="N11" i="100"/>
  <c r="N10" i="100"/>
  <c r="M9" i="100"/>
  <c r="N2" i="100"/>
  <c r="M3" i="100"/>
  <c r="N4" i="100"/>
  <c r="M5" i="100"/>
  <c r="M6" i="100"/>
  <c r="N7" i="100"/>
  <c r="N8" i="100"/>
  <c r="AA10" i="100"/>
  <c r="AE10" i="100"/>
  <c r="AI10" i="100"/>
  <c r="M11" i="100"/>
  <c r="N1" i="100"/>
  <c r="H113" i="100"/>
  <c r="F38" i="100"/>
  <c r="F37" i="100"/>
  <c r="F36" i="100"/>
  <c r="F35" i="100"/>
  <c r="F34" i="100"/>
  <c r="J17" i="100"/>
  <c r="H17" i="100"/>
  <c r="E17" i="100"/>
  <c r="F39" i="100"/>
  <c r="F33" i="100"/>
  <c r="I17" i="100"/>
  <c r="G17" i="100"/>
  <c r="C17" i="100"/>
  <c r="M2" i="100"/>
  <c r="N3" i="100"/>
  <c r="F48" i="100" s="1"/>
  <c r="M4" i="100"/>
  <c r="N5" i="100"/>
  <c r="C6" i="100"/>
  <c r="N6" i="100"/>
  <c r="M7" i="100"/>
  <c r="M8" i="100"/>
  <c r="N9" i="100"/>
  <c r="M10" i="100"/>
  <c r="AC10" i="100"/>
  <c r="AG10" i="100"/>
  <c r="N12" i="100"/>
  <c r="H60" i="100"/>
  <c r="H63" i="100"/>
  <c r="H64" i="100"/>
  <c r="H66" i="100"/>
  <c r="H71" i="100"/>
  <c r="H73" i="100"/>
  <c r="H75" i="100"/>
  <c r="H76" i="100"/>
  <c r="H82" i="100"/>
  <c r="H84" i="100"/>
  <c r="H86" i="100"/>
  <c r="H87" i="100"/>
  <c r="C108" i="100"/>
  <c r="C100" i="100"/>
  <c r="E108" i="100"/>
  <c r="E100" i="100"/>
  <c r="G108" i="100"/>
  <c r="G100" i="100"/>
  <c r="I108" i="100"/>
  <c r="I100" i="100"/>
  <c r="K108" i="100"/>
  <c r="K100" i="100"/>
  <c r="M108" i="100"/>
  <c r="M100" i="100"/>
  <c r="D100" i="100"/>
  <c r="D53" i="100"/>
  <c r="E48" i="100" s="1"/>
  <c r="B46" i="100" s="1"/>
  <c r="C24" i="100" s="1"/>
  <c r="H59" i="100"/>
  <c r="H61" i="100"/>
  <c r="H62" i="100"/>
  <c r="H65" i="100"/>
  <c r="H72" i="100"/>
  <c r="H74" i="100"/>
  <c r="H77" i="100"/>
  <c r="H83" i="100"/>
  <c r="H85" i="100"/>
  <c r="F108" i="100"/>
  <c r="F100" i="100"/>
  <c r="H108" i="100"/>
  <c r="H100" i="100"/>
  <c r="J108" i="100"/>
  <c r="J100" i="100"/>
  <c r="L108" i="100"/>
  <c r="L100" i="100"/>
  <c r="N108" i="100"/>
  <c r="N100" i="100"/>
  <c r="C16" i="100" l="1"/>
  <c r="H56" i="100"/>
  <c r="H54" i="100"/>
  <c r="H51" i="100"/>
  <c r="H50" i="100"/>
  <c r="H48" i="100"/>
  <c r="H55" i="100"/>
  <c r="H53" i="100"/>
  <c r="H52" i="100"/>
  <c r="H49" i="100"/>
  <c r="D5" i="100"/>
  <c r="C5" i="100"/>
  <c r="A24" i="91"/>
  <c r="R16" i="82"/>
  <c r="F70" i="77"/>
  <c r="F52" i="77"/>
  <c r="G1" i="85"/>
  <c r="G3" i="85"/>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R47" i="95"/>
  <c r="S47" i="95" s="1"/>
  <c r="Q47" i="95"/>
  <c r="O47" i="95"/>
  <c r="M47" i="95"/>
  <c r="K47" i="95"/>
  <c r="I47" i="95"/>
  <c r="G47" i="95"/>
  <c r="E47" i="95"/>
  <c r="C47" i="95"/>
  <c r="R46" i="95"/>
  <c r="S46" i="95" s="1"/>
  <c r="Q46" i="95"/>
  <c r="O46" i="95"/>
  <c r="M46" i="95"/>
  <c r="K46" i="95"/>
  <c r="I46" i="95"/>
  <c r="G46" i="95"/>
  <c r="E46" i="95"/>
  <c r="C46" i="95"/>
  <c r="R45" i="95"/>
  <c r="S45" i="95" s="1"/>
  <c r="Q45" i="95"/>
  <c r="O45" i="95"/>
  <c r="M45" i="95"/>
  <c r="K45" i="95"/>
  <c r="I45" i="95"/>
  <c r="G45" i="95"/>
  <c r="E45" i="95"/>
  <c r="C45" i="95"/>
  <c r="R44" i="95"/>
  <c r="S44" i="95" s="1"/>
  <c r="Q44" i="95"/>
  <c r="O44" i="95"/>
  <c r="M44" i="95"/>
  <c r="K44" i="95"/>
  <c r="I44" i="95"/>
  <c r="G44" i="95"/>
  <c r="E44" i="95"/>
  <c r="C44" i="95"/>
  <c r="R43" i="95"/>
  <c r="S43" i="95" s="1"/>
  <c r="Q43" i="95"/>
  <c r="O43" i="95"/>
  <c r="M43" i="95"/>
  <c r="K43" i="95"/>
  <c r="I43" i="95"/>
  <c r="G43" i="95"/>
  <c r="E43" i="95"/>
  <c r="C43" i="95"/>
  <c r="R42" i="95"/>
  <c r="S42" i="95" s="1"/>
  <c r="Q42" i="95"/>
  <c r="O42" i="95"/>
  <c r="M42" i="95"/>
  <c r="K42" i="95"/>
  <c r="I42" i="95"/>
  <c r="G42" i="95"/>
  <c r="E42" i="95"/>
  <c r="C42" i="95"/>
  <c r="R41" i="95"/>
  <c r="S41" i="95" s="1"/>
  <c r="Q41" i="95"/>
  <c r="O41" i="95"/>
  <c r="M41" i="95"/>
  <c r="K41" i="95"/>
  <c r="I41" i="95"/>
  <c r="G41" i="95"/>
  <c r="E41" i="95"/>
  <c r="C41" i="95"/>
  <c r="R40" i="95"/>
  <c r="S40" i="95" s="1"/>
  <c r="Q40" i="95"/>
  <c r="O40" i="95"/>
  <c r="M40" i="95"/>
  <c r="K40" i="95"/>
  <c r="I40" i="95"/>
  <c r="G40" i="95"/>
  <c r="E40" i="95"/>
  <c r="C40" i="95"/>
  <c r="R39" i="95"/>
  <c r="S39" i="95" s="1"/>
  <c r="Q39" i="95"/>
  <c r="O39" i="95"/>
  <c r="M39" i="95"/>
  <c r="K39" i="95"/>
  <c r="I39" i="95"/>
  <c r="G39" i="95"/>
  <c r="E39" i="95"/>
  <c r="C39" i="95"/>
  <c r="R38" i="95"/>
  <c r="S38" i="95" s="1"/>
  <c r="Q38" i="95"/>
  <c r="O38" i="95"/>
  <c r="M38" i="95"/>
  <c r="K38" i="95"/>
  <c r="I38" i="95"/>
  <c r="G38" i="95"/>
  <c r="E38" i="95"/>
  <c r="C38" i="95"/>
  <c r="R37" i="95"/>
  <c r="S37" i="95" s="1"/>
  <c r="Q37" i="95"/>
  <c r="O37" i="95"/>
  <c r="M37" i="95"/>
  <c r="K37" i="95"/>
  <c r="I37" i="95"/>
  <c r="G37" i="95"/>
  <c r="E37" i="95"/>
  <c r="C37" i="95"/>
  <c r="R36" i="95"/>
  <c r="S36" i="95" s="1"/>
  <c r="Q36" i="95"/>
  <c r="O36" i="95"/>
  <c r="M36" i="95"/>
  <c r="K36" i="95"/>
  <c r="I36" i="95"/>
  <c r="G36" i="95"/>
  <c r="E36" i="95"/>
  <c r="C36" i="95"/>
  <c r="R35" i="95"/>
  <c r="S35" i="95" s="1"/>
  <c r="Q35" i="95"/>
  <c r="O35" i="95"/>
  <c r="M35" i="95"/>
  <c r="K35" i="95"/>
  <c r="I35" i="95"/>
  <c r="G35" i="95"/>
  <c r="E35" i="95"/>
  <c r="C35" i="95"/>
  <c r="R34" i="95"/>
  <c r="S34" i="95" s="1"/>
  <c r="Q34" i="95"/>
  <c r="O34" i="95"/>
  <c r="M34" i="95"/>
  <c r="K34" i="95"/>
  <c r="I34" i="95"/>
  <c r="G34" i="95"/>
  <c r="E34" i="95"/>
  <c r="C34" i="95"/>
  <c r="R33" i="95"/>
  <c r="S33" i="95" s="1"/>
  <c r="Q33" i="95"/>
  <c r="O33" i="95"/>
  <c r="M33" i="95"/>
  <c r="K33" i="95"/>
  <c r="I33" i="95"/>
  <c r="G33" i="95"/>
  <c r="E33" i="95"/>
  <c r="C33" i="95"/>
  <c r="R32" i="95"/>
  <c r="S32" i="95" s="1"/>
  <c r="Q32" i="95"/>
  <c r="O32" i="95"/>
  <c r="M32" i="95"/>
  <c r="K32" i="95"/>
  <c r="I32" i="95"/>
  <c r="G32" i="95"/>
  <c r="E32" i="95"/>
  <c r="C32" i="95"/>
  <c r="R31" i="95"/>
  <c r="S31" i="95" s="1"/>
  <c r="Q31" i="95"/>
  <c r="O31" i="95"/>
  <c r="M31" i="95"/>
  <c r="K31" i="95"/>
  <c r="I31" i="95"/>
  <c r="G31" i="95"/>
  <c r="E31" i="95"/>
  <c r="C31" i="95"/>
  <c r="R30" i="95"/>
  <c r="S30" i="95" s="1"/>
  <c r="Q30" i="95"/>
  <c r="O30" i="95"/>
  <c r="M30" i="95"/>
  <c r="K30" i="95"/>
  <c r="I30" i="95"/>
  <c r="G30" i="95"/>
  <c r="E30" i="95"/>
  <c r="C30" i="95"/>
  <c r="R29" i="95"/>
  <c r="S29" i="95" s="1"/>
  <c r="Q29" i="95"/>
  <c r="O29" i="95"/>
  <c r="M29" i="95"/>
  <c r="K29" i="95"/>
  <c r="I29" i="95"/>
  <c r="G29" i="95"/>
  <c r="E29" i="95"/>
  <c r="C29" i="95"/>
  <c r="R28" i="95"/>
  <c r="S28" i="95" s="1"/>
  <c r="Q28" i="95"/>
  <c r="O28" i="95"/>
  <c r="M28" i="95"/>
  <c r="K28" i="95"/>
  <c r="I28" i="95"/>
  <c r="G28" i="95"/>
  <c r="E28" i="95"/>
  <c r="C28" i="95"/>
  <c r="R27" i="95"/>
  <c r="S27" i="95" s="1"/>
  <c r="Q27" i="95"/>
  <c r="O27" i="95"/>
  <c r="M27" i="95"/>
  <c r="K27" i="95"/>
  <c r="I27" i="95"/>
  <c r="G27" i="95"/>
  <c r="E27" i="95"/>
  <c r="C27" i="95"/>
  <c r="Q26" i="95"/>
  <c r="O26" i="95"/>
  <c r="M26" i="95"/>
  <c r="K26" i="95"/>
  <c r="I26" i="95"/>
  <c r="G26" i="95"/>
  <c r="E26" i="95"/>
  <c r="B26" i="95"/>
  <c r="Q25" i="95"/>
  <c r="O25" i="95"/>
  <c r="M25" i="95"/>
  <c r="K25" i="95"/>
  <c r="I25" i="95"/>
  <c r="G25" i="95"/>
  <c r="E25" i="95"/>
  <c r="B25" i="95"/>
  <c r="P23" i="95"/>
  <c r="N23" i="95"/>
  <c r="L23" i="95"/>
  <c r="J23" i="95"/>
  <c r="H23" i="95"/>
  <c r="F23" i="95"/>
  <c r="D23" i="95"/>
  <c r="E12" i="95"/>
  <c r="F12" i="95" s="1"/>
  <c r="G12" i="95" s="1"/>
  <c r="H12" i="95" s="1"/>
  <c r="I12" i="95" s="1"/>
  <c r="J12" i="95" s="1"/>
  <c r="K12" i="95" s="1"/>
  <c r="L12" i="95" s="1"/>
  <c r="M12" i="95" s="1"/>
  <c r="N12" i="95" s="1"/>
  <c r="O12" i="95" s="1"/>
  <c r="P12" i="95" s="1"/>
  <c r="Q12" i="95" s="1"/>
  <c r="R12" i="95" s="1"/>
  <c r="S12" i="95" s="1"/>
  <c r="D12" i="95"/>
  <c r="D10" i="95"/>
  <c r="E10" i="95" s="1"/>
  <c r="F10" i="95" s="1"/>
  <c r="G10" i="95" s="1"/>
  <c r="H10" i="95" s="1"/>
  <c r="I10" i="95" s="1"/>
  <c r="J10" i="95" s="1"/>
  <c r="K10" i="95" s="1"/>
  <c r="L10" i="95" s="1"/>
  <c r="M10" i="95" s="1"/>
  <c r="N10" i="95" s="1"/>
  <c r="O10" i="95" s="1"/>
  <c r="P10" i="95" s="1"/>
  <c r="Q10" i="95" s="1"/>
  <c r="R10" i="95" s="1"/>
  <c r="S10" i="95" s="1"/>
  <c r="E8" i="95"/>
  <c r="F8" i="95" s="1"/>
  <c r="G8" i="95" s="1"/>
  <c r="H8" i="95" s="1"/>
  <c r="I8" i="95" s="1"/>
  <c r="J8" i="95" s="1"/>
  <c r="K8" i="95" s="1"/>
  <c r="L8" i="95" s="1"/>
  <c r="M8" i="95" s="1"/>
  <c r="N8" i="95" s="1"/>
  <c r="O8" i="95" s="1"/>
  <c r="P8" i="95" s="1"/>
  <c r="Q8" i="95" s="1"/>
  <c r="R8" i="95" s="1"/>
  <c r="S8" i="95" s="1"/>
  <c r="D8" i="95"/>
  <c r="D6" i="95"/>
  <c r="E6" i="95" s="1"/>
  <c r="F6" i="95" s="1"/>
  <c r="G6" i="95" s="1"/>
  <c r="H6" i="95" s="1"/>
  <c r="I6" i="95" s="1"/>
  <c r="J6" i="95" s="1"/>
  <c r="K6" i="95" s="1"/>
  <c r="L6" i="95" s="1"/>
  <c r="M6" i="95" s="1"/>
  <c r="N6" i="95" s="1"/>
  <c r="O6" i="95" s="1"/>
  <c r="P6" i="95" s="1"/>
  <c r="Q6" i="95" s="1"/>
  <c r="R6" i="95" s="1"/>
  <c r="S6" i="95" s="1"/>
  <c r="S2" i="95"/>
  <c r="R2" i="95"/>
  <c r="Q2" i="95"/>
  <c r="P2" i="95"/>
  <c r="O2" i="95"/>
  <c r="N2" i="95"/>
  <c r="M2" i="95"/>
  <c r="L2" i="95"/>
  <c r="K2" i="95"/>
  <c r="J2" i="95"/>
  <c r="I2" i="95"/>
  <c r="H2" i="95"/>
  <c r="G2" i="95"/>
  <c r="F2" i="95"/>
  <c r="E2" i="95"/>
  <c r="D2" i="95"/>
  <c r="C2" i="95"/>
  <c r="B130" i="94" l="1"/>
  <c r="B128" i="94"/>
  <c r="B126" i="94"/>
  <c r="D125" i="94"/>
  <c r="E125" i="94" s="1"/>
  <c r="F125" i="94" s="1"/>
  <c r="G125" i="94" s="1"/>
  <c r="D123" i="94"/>
  <c r="E123" i="94" s="1"/>
  <c r="F123" i="94" s="1"/>
  <c r="G123" i="94" s="1"/>
  <c r="H123" i="94" s="1"/>
  <c r="I123" i="94" s="1"/>
  <c r="J123" i="94" s="1"/>
  <c r="K123" i="94" s="1"/>
  <c r="L123" i="94" s="1"/>
  <c r="M123" i="94" s="1"/>
  <c r="D121" i="94"/>
  <c r="E121" i="94" s="1"/>
  <c r="F121" i="94" s="1"/>
  <c r="G121" i="94" s="1"/>
  <c r="H121" i="94" s="1"/>
  <c r="I121" i="94" s="1"/>
  <c r="J121" i="94" s="1"/>
  <c r="K121" i="94" s="1"/>
  <c r="L121" i="94" s="1"/>
  <c r="M121" i="94" s="1"/>
  <c r="D117" i="94"/>
  <c r="E117" i="94" s="1"/>
  <c r="F117" i="94" s="1"/>
  <c r="G117" i="94" s="1"/>
  <c r="D115" i="94"/>
  <c r="E115" i="94" s="1"/>
  <c r="F115" i="94" s="1"/>
  <c r="G115" i="94" s="1"/>
  <c r="H115" i="94" s="1"/>
  <c r="I115" i="94" s="1"/>
  <c r="J115" i="94" s="1"/>
  <c r="K115" i="94" s="1"/>
  <c r="L115" i="94" s="1"/>
  <c r="M115" i="94" s="1"/>
  <c r="D113" i="94"/>
  <c r="E113" i="94" s="1"/>
  <c r="F113" i="94" s="1"/>
  <c r="G113" i="94" s="1"/>
  <c r="H113" i="94" s="1"/>
  <c r="I113" i="94" s="1"/>
  <c r="J113" i="94" s="1"/>
  <c r="K113" i="94" s="1"/>
  <c r="L113" i="94" s="1"/>
  <c r="M113" i="94" s="1"/>
  <c r="D111" i="94"/>
  <c r="E111" i="94" s="1"/>
  <c r="F111" i="94" s="1"/>
  <c r="G111" i="94" s="1"/>
  <c r="H111" i="94" s="1"/>
  <c r="I111" i="94" s="1"/>
  <c r="J111" i="94" s="1"/>
  <c r="K111" i="94" s="1"/>
  <c r="L111" i="94" s="1"/>
  <c r="M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B94" i="94"/>
  <c r="B92" i="94"/>
  <c r="D91" i="94"/>
  <c r="E91" i="94" s="1"/>
  <c r="F91" i="94" s="1"/>
  <c r="G91" i="94" s="1"/>
  <c r="H91" i="94" s="1"/>
  <c r="I91" i="94" s="1"/>
  <c r="J91" i="94" s="1"/>
  <c r="K91" i="94" s="1"/>
  <c r="L91" i="94" s="1"/>
  <c r="M91" i="94" s="1"/>
  <c r="B90" i="94"/>
  <c r="B88" i="94"/>
  <c r="D87" i="94"/>
  <c r="E87" i="94" s="1"/>
  <c r="F87" i="94" s="1"/>
  <c r="G87" i="94" s="1"/>
  <c r="H87" i="94" s="1"/>
  <c r="I87" i="94" s="1"/>
  <c r="J87" i="94" s="1"/>
  <c r="K87" i="94" s="1"/>
  <c r="L87" i="94" s="1"/>
  <c r="M87" i="94" s="1"/>
  <c r="D85" i="94"/>
  <c r="E85" i="94" s="1"/>
  <c r="F85" i="94" s="1"/>
  <c r="G85" i="94" s="1"/>
  <c r="D83" i="94"/>
  <c r="E83" i="94" s="1"/>
  <c r="F83" i="94" s="1"/>
  <c r="G83" i="94" s="1"/>
  <c r="D81" i="94"/>
  <c r="E81" i="94" s="1"/>
  <c r="F81" i="94" s="1"/>
  <c r="G81" i="94" s="1"/>
  <c r="D79" i="94"/>
  <c r="E79" i="94" s="1"/>
  <c r="F79" i="94" s="1"/>
  <c r="G79" i="94" s="1"/>
  <c r="D77" i="94"/>
  <c r="E77" i="94" s="1"/>
  <c r="F77" i="94" s="1"/>
  <c r="G77" i="94" s="1"/>
  <c r="B74" i="94"/>
  <c r="B72" i="94"/>
  <c r="B70" i="94"/>
  <c r="D69" i="94"/>
  <c r="E69" i="94" s="1"/>
  <c r="F69" i="94" s="1"/>
  <c r="G69" i="94" s="1"/>
  <c r="H69" i="94" s="1"/>
  <c r="I69" i="94" s="1"/>
  <c r="J69" i="94" s="1"/>
  <c r="K69" i="94" s="1"/>
  <c r="L69" i="94" s="1"/>
  <c r="M69" i="94" s="1"/>
  <c r="M67" i="94"/>
  <c r="L67" i="94"/>
  <c r="K67" i="94"/>
  <c r="J67" i="94"/>
  <c r="I67" i="94"/>
  <c r="H67" i="94"/>
  <c r="G67" i="94"/>
  <c r="F67" i="94"/>
  <c r="E67" i="94"/>
  <c r="D67" i="94"/>
  <c r="C67" i="94"/>
  <c r="G66" i="94"/>
  <c r="H66" i="94" s="1"/>
  <c r="I66" i="94" s="1"/>
  <c r="C63" i="94"/>
  <c r="P49" i="94"/>
  <c r="P48" i="94"/>
  <c r="P47" i="94"/>
  <c r="Q46" i="94"/>
  <c r="Z46" i="94" s="1"/>
  <c r="J46" i="94"/>
  <c r="AC46" i="94" s="1"/>
  <c r="H46" i="94"/>
  <c r="AB46" i="94" s="1"/>
  <c r="F46" i="94"/>
  <c r="AA46" i="94" s="1"/>
  <c r="Q45" i="94"/>
  <c r="Z45" i="94" s="1"/>
  <c r="J45" i="94"/>
  <c r="AC45" i="94" s="1"/>
  <c r="H45" i="94"/>
  <c r="AB45" i="94" s="1"/>
  <c r="F45" i="94"/>
  <c r="AA45" i="94" s="1"/>
  <c r="Q44" i="94"/>
  <c r="Z44" i="94" s="1"/>
  <c r="J44" i="94"/>
  <c r="AC44" i="94" s="1"/>
  <c r="H44" i="94"/>
  <c r="AB44" i="94" s="1"/>
  <c r="F44" i="94"/>
  <c r="AA44" i="94" s="1"/>
  <c r="Q43" i="94"/>
  <c r="Z43" i="94" s="1"/>
  <c r="J43" i="94"/>
  <c r="AC43" i="94" s="1"/>
  <c r="H43" i="94"/>
  <c r="AB43" i="94" s="1"/>
  <c r="F43" i="94"/>
  <c r="AA43" i="94" s="1"/>
  <c r="Q42" i="94"/>
  <c r="Z42" i="94" s="1"/>
  <c r="J42" i="94"/>
  <c r="AC42" i="94" s="1"/>
  <c r="H42" i="94"/>
  <c r="AB42" i="94" s="1"/>
  <c r="F42" i="94"/>
  <c r="AA42" i="94" s="1"/>
  <c r="Q41" i="94"/>
  <c r="Z41" i="94" s="1"/>
  <c r="J41" i="94"/>
  <c r="AC41" i="94" s="1"/>
  <c r="H41" i="94"/>
  <c r="AB41" i="94" s="1"/>
  <c r="F41" i="94"/>
  <c r="AA41"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J37" i="94"/>
  <c r="AC37" i="94" s="1"/>
  <c r="H37" i="94"/>
  <c r="AB37" i="94" s="1"/>
  <c r="F37" i="94"/>
  <c r="AA37" i="94" s="1"/>
  <c r="Q36" i="94"/>
  <c r="Z36" i="94" s="1"/>
  <c r="C36" i="94"/>
  <c r="J36" i="94" s="1"/>
  <c r="Q35" i="94"/>
  <c r="Z35" i="94" s="1"/>
  <c r="J35" i="94"/>
  <c r="AC35" i="94" s="1"/>
  <c r="H35" i="94"/>
  <c r="AB35" i="94" s="1"/>
  <c r="F35" i="94"/>
  <c r="AA35" i="94" s="1"/>
  <c r="Q34" i="94"/>
  <c r="Z34" i="94" s="1"/>
  <c r="J34" i="94"/>
  <c r="AC34" i="94" s="1"/>
  <c r="H34" i="94"/>
  <c r="AB34" i="94" s="1"/>
  <c r="F34" i="94"/>
  <c r="AA34" i="94" s="1"/>
  <c r="Q33" i="94"/>
  <c r="Z33" i="94" s="1"/>
  <c r="C33" i="94"/>
  <c r="J33" i="94" s="1"/>
  <c r="Q32" i="94"/>
  <c r="Z32" i="94" s="1"/>
  <c r="J32" i="94"/>
  <c r="AC32" i="94" s="1"/>
  <c r="H32" i="94"/>
  <c r="AB32" i="94" s="1"/>
  <c r="F32" i="94"/>
  <c r="AA32" i="94" s="1"/>
  <c r="Q31" i="94"/>
  <c r="Z31" i="94" s="1"/>
  <c r="J31" i="94"/>
  <c r="AC31" i="94" s="1"/>
  <c r="H31" i="94"/>
  <c r="AB31" i="94" s="1"/>
  <c r="F31" i="94"/>
  <c r="AA31" i="94" s="1"/>
  <c r="Q30" i="94"/>
  <c r="Z30" i="94" s="1"/>
  <c r="J30" i="94"/>
  <c r="AC30" i="94" s="1"/>
  <c r="H30" i="94"/>
  <c r="AB30" i="94" s="1"/>
  <c r="F30" i="94"/>
  <c r="AA30" i="94" s="1"/>
  <c r="Q29" i="94"/>
  <c r="Z29" i="94" s="1"/>
  <c r="J29" i="94"/>
  <c r="AC29" i="94" s="1"/>
  <c r="H29" i="94"/>
  <c r="AB29" i="94" s="1"/>
  <c r="F29" i="94"/>
  <c r="AA29" i="94" s="1"/>
  <c r="Q28" i="94"/>
  <c r="Z28" i="94" s="1"/>
  <c r="J28" i="94"/>
  <c r="AC28" i="94" s="1"/>
  <c r="H28" i="94"/>
  <c r="AB28" i="94" s="1"/>
  <c r="F28" i="94"/>
  <c r="AA28" i="94" s="1"/>
  <c r="Q27" i="94"/>
  <c r="Z27" i="94" s="1"/>
  <c r="J27" i="94"/>
  <c r="AC27" i="94" s="1"/>
  <c r="H27" i="94"/>
  <c r="AB27" i="94" s="1"/>
  <c r="F27" i="94"/>
  <c r="AA27" i="94" s="1"/>
  <c r="Q26" i="94"/>
  <c r="Z26" i="94" s="1"/>
  <c r="J26" i="94"/>
  <c r="AC26" i="94" s="1"/>
  <c r="H26" i="94"/>
  <c r="AB26" i="94" s="1"/>
  <c r="F26" i="94"/>
  <c r="AA26" i="94" s="1"/>
  <c r="Q25" i="94"/>
  <c r="Z25" i="94" s="1"/>
  <c r="J25" i="94"/>
  <c r="AC25" i="94" s="1"/>
  <c r="H25" i="94"/>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J9" i="94"/>
  <c r="AC9" i="94" s="1"/>
  <c r="H9" i="94"/>
  <c r="AB9" i="94" s="1"/>
  <c r="F9" i="94"/>
  <c r="AA9" i="94" s="1"/>
  <c r="J8" i="94"/>
  <c r="W8" i="94" s="1"/>
  <c r="H8" i="94"/>
  <c r="AB8" i="94" s="1"/>
  <c r="F8" i="94"/>
  <c r="S8" i="94" s="1"/>
  <c r="D2" i="94"/>
  <c r="U8" i="94" l="1"/>
  <c r="U9" i="94"/>
  <c r="S10" i="94"/>
  <c r="W10" i="94"/>
  <c r="U11" i="94"/>
  <c r="S12" i="94"/>
  <c r="W12" i="94"/>
  <c r="U13" i="94"/>
  <c r="S14" i="94"/>
  <c r="W14" i="94"/>
  <c r="S15" i="94"/>
  <c r="W15" i="94"/>
  <c r="S17" i="94"/>
  <c r="W17" i="94"/>
  <c r="S19" i="94"/>
  <c r="W19" i="94"/>
  <c r="S21" i="94"/>
  <c r="W21" i="94"/>
  <c r="S23" i="94"/>
  <c r="W23" i="94"/>
  <c r="AB25" i="94"/>
  <c r="U25" i="94"/>
  <c r="AA8" i="94"/>
  <c r="AC8" i="94"/>
  <c r="S9" i="94"/>
  <c r="W9" i="94"/>
  <c r="U10" i="94"/>
  <c r="S11" i="94"/>
  <c r="W11" i="94"/>
  <c r="U12" i="94"/>
  <c r="S13" i="94"/>
  <c r="W13" i="94"/>
  <c r="U14" i="94"/>
  <c r="U15" i="94"/>
  <c r="U17" i="94"/>
  <c r="U19" i="94"/>
  <c r="U21" i="94"/>
  <c r="U23" i="94"/>
  <c r="AC33" i="94"/>
  <c r="W33" i="94"/>
  <c r="AC36" i="94"/>
  <c r="W36" i="94"/>
  <c r="S25" i="94"/>
  <c r="W25" i="94"/>
  <c r="U26" i="94"/>
  <c r="S27" i="94"/>
  <c r="W27" i="94"/>
  <c r="U28" i="94"/>
  <c r="S29" i="94"/>
  <c r="W29" i="94"/>
  <c r="U30" i="94"/>
  <c r="S31" i="94"/>
  <c r="W31" i="94"/>
  <c r="U32" i="94"/>
  <c r="H33" i="94"/>
  <c r="S34" i="94"/>
  <c r="W34" i="94"/>
  <c r="U35" i="94"/>
  <c r="H36" i="94"/>
  <c r="S37" i="94"/>
  <c r="W37" i="94"/>
  <c r="U38" i="94"/>
  <c r="S39" i="94"/>
  <c r="W39" i="94"/>
  <c r="U40" i="94"/>
  <c r="S41" i="94"/>
  <c r="W41" i="94"/>
  <c r="U42" i="94"/>
  <c r="S43" i="94"/>
  <c r="W43" i="94"/>
  <c r="U44" i="94"/>
  <c r="S45" i="94"/>
  <c r="W45" i="94"/>
  <c r="U46" i="94"/>
  <c r="E54" i="94"/>
  <c r="F54" i="94" s="1"/>
  <c r="I54" i="94"/>
  <c r="J54" i="94" s="1"/>
  <c r="R47" i="94"/>
  <c r="V47" i="94"/>
  <c r="S26" i="94"/>
  <c r="W26" i="94"/>
  <c r="U27" i="94"/>
  <c r="S28" i="94"/>
  <c r="W28" i="94"/>
  <c r="U29" i="94"/>
  <c r="S30" i="94"/>
  <c r="W30" i="94"/>
  <c r="U31" i="94"/>
  <c r="S32" i="94"/>
  <c r="W32" i="94"/>
  <c r="F33" i="94"/>
  <c r="U34" i="94"/>
  <c r="S35" i="94"/>
  <c r="W35" i="94"/>
  <c r="F36" i="94"/>
  <c r="U37" i="94"/>
  <c r="S38" i="94"/>
  <c r="W38" i="94"/>
  <c r="U39" i="94"/>
  <c r="S40" i="94"/>
  <c r="W40" i="94"/>
  <c r="U41" i="94"/>
  <c r="S42" i="94"/>
  <c r="W42" i="94"/>
  <c r="U43" i="94"/>
  <c r="S44" i="94"/>
  <c r="W44" i="94"/>
  <c r="U45" i="94"/>
  <c r="S46" i="94"/>
  <c r="W46" i="94"/>
  <c r="G54" i="94"/>
  <c r="H54" i="94" s="1"/>
  <c r="T47" i="94"/>
  <c r="C33" i="33"/>
  <c r="C36" i="33"/>
  <c r="F70" i="15"/>
  <c r="F52" i="15"/>
  <c r="K8" i="85"/>
  <c r="K7" i="85"/>
  <c r="H3" i="85"/>
  <c r="I3" i="85" s="1"/>
  <c r="B24" i="95" l="1"/>
  <c r="B24" i="91"/>
  <c r="I10" i="85"/>
  <c r="AA36" i="94"/>
  <c r="S36" i="94"/>
  <c r="AA33" i="94"/>
  <c r="S33" i="94"/>
  <c r="AB36" i="94"/>
  <c r="U36" i="94"/>
  <c r="AB33" i="94"/>
  <c r="U33" i="94"/>
  <c r="G10" i="85"/>
  <c r="C25" i="95" l="1"/>
  <c r="B22" i="95"/>
  <c r="C26" i="95"/>
  <c r="B131" i="92"/>
  <c r="H47" i="92" s="1"/>
  <c r="AB47" i="92" s="1"/>
  <c r="B129" i="92"/>
  <c r="B127" i="92"/>
  <c r="H45" i="92" s="1"/>
  <c r="AB45" i="92" s="1"/>
  <c r="D126" i="92"/>
  <c r="E126" i="92" s="1"/>
  <c r="F126" i="92" s="1"/>
  <c r="G126" i="92" s="1"/>
  <c r="D124" i="92"/>
  <c r="E124" i="92" s="1"/>
  <c r="F124" i="92" s="1"/>
  <c r="G124" i="92" s="1"/>
  <c r="H124" i="92" s="1"/>
  <c r="I124" i="92" s="1"/>
  <c r="J124" i="92" s="1"/>
  <c r="K124" i="92" s="1"/>
  <c r="L124" i="92" s="1"/>
  <c r="M124" i="92" s="1"/>
  <c r="D120" i="92"/>
  <c r="E120" i="92" s="1"/>
  <c r="F120" i="92" s="1"/>
  <c r="G120" i="92" s="1"/>
  <c r="H120" i="92" s="1"/>
  <c r="I120" i="92" s="1"/>
  <c r="J120" i="92" s="1"/>
  <c r="K120" i="92" s="1"/>
  <c r="L120" i="92" s="1"/>
  <c r="M120" i="92" s="1"/>
  <c r="D118" i="92"/>
  <c r="E118" i="92" s="1"/>
  <c r="F118" i="92" s="1"/>
  <c r="G118" i="92" s="1"/>
  <c r="D116" i="92"/>
  <c r="E116" i="92" s="1"/>
  <c r="F116" i="92" s="1"/>
  <c r="G116" i="92" s="1"/>
  <c r="H116" i="92" s="1"/>
  <c r="I116" i="92" s="1"/>
  <c r="J116" i="92" s="1"/>
  <c r="K116" i="92" s="1"/>
  <c r="L116" i="92" s="1"/>
  <c r="M116" i="92" s="1"/>
  <c r="D114" i="92"/>
  <c r="E114" i="92" s="1"/>
  <c r="F114" i="92" s="1"/>
  <c r="G114" i="92" s="1"/>
  <c r="H114" i="92" s="1"/>
  <c r="I114" i="92" s="1"/>
  <c r="J114" i="92" s="1"/>
  <c r="K114" i="92" s="1"/>
  <c r="L114" i="92" s="1"/>
  <c r="M114" i="92" s="1"/>
  <c r="D112" i="92"/>
  <c r="E112" i="92" s="1"/>
  <c r="F112" i="92" s="1"/>
  <c r="G112" i="92" s="1"/>
  <c r="H112" i="92" s="1"/>
  <c r="I112" i="92" s="1"/>
  <c r="J112" i="92" s="1"/>
  <c r="K112" i="92" s="1"/>
  <c r="L112" i="92" s="1"/>
  <c r="M112" i="92" s="1"/>
  <c r="G110" i="92"/>
  <c r="F110" i="92"/>
  <c r="E110" i="92"/>
  <c r="D110" i="92"/>
  <c r="C110" i="92"/>
  <c r="D109" i="92"/>
  <c r="E109" i="92" s="1"/>
  <c r="F109" i="92" s="1"/>
  <c r="G109" i="92" s="1"/>
  <c r="H109" i="92" s="1"/>
  <c r="I109" i="92" s="1"/>
  <c r="J109" i="92" s="1"/>
  <c r="K109" i="92" s="1"/>
  <c r="L109" i="92" s="1"/>
  <c r="M109" i="92" s="1"/>
  <c r="D107" i="92"/>
  <c r="E107" i="92" s="1"/>
  <c r="F107" i="92" s="1"/>
  <c r="G107" i="92" s="1"/>
  <c r="H107" i="92" s="1"/>
  <c r="I107" i="92" s="1"/>
  <c r="J107" i="92" s="1"/>
  <c r="K107" i="92" s="1"/>
  <c r="L107" i="92" s="1"/>
  <c r="M107" i="92" s="1"/>
  <c r="M103" i="92"/>
  <c r="L103" i="92"/>
  <c r="K103" i="92"/>
  <c r="J103" i="92"/>
  <c r="I103" i="92"/>
  <c r="H103" i="92"/>
  <c r="G103" i="92"/>
  <c r="F103" i="92"/>
  <c r="E103" i="92"/>
  <c r="D103" i="92"/>
  <c r="C103" i="92"/>
  <c r="D102" i="92"/>
  <c r="E102" i="92" s="1"/>
  <c r="F102" i="92" s="1"/>
  <c r="G102" i="92" s="1"/>
  <c r="H102" i="92" s="1"/>
  <c r="I102" i="92" s="1"/>
  <c r="J102" i="92" s="1"/>
  <c r="K102" i="92" s="1"/>
  <c r="L102" i="92" s="1"/>
  <c r="M102" i="92" s="1"/>
  <c r="B99" i="92"/>
  <c r="B97" i="92"/>
  <c r="B95" i="92"/>
  <c r="B93" i="92"/>
  <c r="D92" i="92"/>
  <c r="E92" i="92" s="1"/>
  <c r="F92" i="92" s="1"/>
  <c r="G92" i="92" s="1"/>
  <c r="H92" i="92" s="1"/>
  <c r="I92" i="92" s="1"/>
  <c r="J92" i="92" s="1"/>
  <c r="K92" i="92" s="1"/>
  <c r="L92" i="92" s="1"/>
  <c r="M92" i="92" s="1"/>
  <c r="B91" i="92"/>
  <c r="D90" i="92"/>
  <c r="E90" i="92" s="1"/>
  <c r="F90" i="92" s="1"/>
  <c r="G90" i="92" s="1"/>
  <c r="H90" i="92" s="1"/>
  <c r="I90" i="92" s="1"/>
  <c r="J90" i="92" s="1"/>
  <c r="K90" i="92" s="1"/>
  <c r="L90" i="92" s="1"/>
  <c r="M90" i="92" s="1"/>
  <c r="B89" i="92"/>
  <c r="D88" i="92"/>
  <c r="E88" i="92" s="1"/>
  <c r="F88" i="92" s="1"/>
  <c r="G88" i="92" s="1"/>
  <c r="H88" i="92" s="1"/>
  <c r="I88" i="92" s="1"/>
  <c r="J88" i="92" s="1"/>
  <c r="K88" i="92" s="1"/>
  <c r="L88" i="92" s="1"/>
  <c r="M88" i="92" s="1"/>
  <c r="D86" i="92"/>
  <c r="E86" i="92" s="1"/>
  <c r="F86" i="92" s="1"/>
  <c r="G86" i="92" s="1"/>
  <c r="D84" i="92"/>
  <c r="E84" i="92" s="1"/>
  <c r="F84" i="92" s="1"/>
  <c r="G84" i="92" s="1"/>
  <c r="D82" i="92"/>
  <c r="E82" i="92" s="1"/>
  <c r="F82" i="92" s="1"/>
  <c r="G82" i="92" s="1"/>
  <c r="D80" i="92"/>
  <c r="E80" i="92" s="1"/>
  <c r="F80" i="92" s="1"/>
  <c r="G80" i="92" s="1"/>
  <c r="D78" i="92"/>
  <c r="E78" i="92" s="1"/>
  <c r="F78" i="92" s="1"/>
  <c r="G78" i="92" s="1"/>
  <c r="B75" i="92"/>
  <c r="B73" i="92"/>
  <c r="B71" i="92"/>
  <c r="D70" i="92"/>
  <c r="E70" i="92" s="1"/>
  <c r="F70" i="92" s="1"/>
  <c r="G70" i="92" s="1"/>
  <c r="H70" i="92" s="1"/>
  <c r="I70" i="92" s="1"/>
  <c r="J70" i="92" s="1"/>
  <c r="K70" i="92" s="1"/>
  <c r="L70" i="92" s="1"/>
  <c r="M70" i="92" s="1"/>
  <c r="M68" i="92"/>
  <c r="L68" i="92"/>
  <c r="K68" i="92"/>
  <c r="J68" i="92"/>
  <c r="I68" i="92"/>
  <c r="H68" i="92"/>
  <c r="G68" i="92"/>
  <c r="F68" i="92"/>
  <c r="E68" i="92"/>
  <c r="D68" i="92"/>
  <c r="C68" i="92"/>
  <c r="F67" i="92"/>
  <c r="G67" i="92" s="1"/>
  <c r="H67" i="92" s="1"/>
  <c r="I67" i="92" s="1"/>
  <c r="C64" i="92"/>
  <c r="P50" i="92"/>
  <c r="P49" i="92"/>
  <c r="P48" i="92"/>
  <c r="I48" i="92"/>
  <c r="G48" i="92"/>
  <c r="E48" i="92"/>
  <c r="E55" i="92" s="1"/>
  <c r="F55" i="92" s="1"/>
  <c r="Q47" i="92"/>
  <c r="Z47" i="92" s="1"/>
  <c r="Q46" i="92"/>
  <c r="Z46" i="92" s="1"/>
  <c r="J46" i="92"/>
  <c r="AC46" i="92" s="1"/>
  <c r="H46" i="92"/>
  <c r="AB46" i="92" s="1"/>
  <c r="F46" i="92"/>
  <c r="AA46" i="92" s="1"/>
  <c r="Q45" i="92"/>
  <c r="Z45" i="92" s="1"/>
  <c r="F45" i="92"/>
  <c r="AA45" i="92" s="1"/>
  <c r="Q44" i="92"/>
  <c r="Z44" i="92" s="1"/>
  <c r="J44" i="92"/>
  <c r="AC44" i="92" s="1"/>
  <c r="H44" i="92"/>
  <c r="AB44" i="92" s="1"/>
  <c r="F44" i="92"/>
  <c r="AA44" i="92" s="1"/>
  <c r="Q43" i="92"/>
  <c r="Z43" i="92" s="1"/>
  <c r="Q42" i="92"/>
  <c r="Z42" i="92" s="1"/>
  <c r="J42" i="92"/>
  <c r="AC42" i="92" s="1"/>
  <c r="H42" i="92"/>
  <c r="AB42" i="92" s="1"/>
  <c r="F42" i="92"/>
  <c r="AA42" i="92" s="1"/>
  <c r="Q41" i="92"/>
  <c r="Z41" i="92" s="1"/>
  <c r="J41" i="92"/>
  <c r="AC41" i="92" s="1"/>
  <c r="H41" i="92"/>
  <c r="AB41" i="92" s="1"/>
  <c r="F41" i="92"/>
  <c r="AA41" i="92" s="1"/>
  <c r="Q40" i="92"/>
  <c r="Z40" i="92" s="1"/>
  <c r="J40" i="92"/>
  <c r="AC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C37" i="92"/>
  <c r="J37" i="92" s="1"/>
  <c r="Q36" i="92"/>
  <c r="Z36" i="92" s="1"/>
  <c r="J36" i="92"/>
  <c r="AC36" i="92" s="1"/>
  <c r="H36" i="92"/>
  <c r="AB36" i="92" s="1"/>
  <c r="F36" i="92"/>
  <c r="AA36" i="92" s="1"/>
  <c r="Q35" i="92"/>
  <c r="Z35" i="92" s="1"/>
  <c r="J35" i="92"/>
  <c r="AC35" i="92" s="1"/>
  <c r="H35" i="92"/>
  <c r="AB35" i="92" s="1"/>
  <c r="F35" i="92"/>
  <c r="AA35" i="92" s="1"/>
  <c r="Q34" i="92"/>
  <c r="Z34" i="92" s="1"/>
  <c r="C34" i="92"/>
  <c r="J34" i="92" s="1"/>
  <c r="Q33" i="92"/>
  <c r="Z33" i="92" s="1"/>
  <c r="J33" i="92"/>
  <c r="AC33" i="92" s="1"/>
  <c r="H33" i="92"/>
  <c r="AB33" i="92" s="1"/>
  <c r="F33" i="92"/>
  <c r="AA33" i="92" s="1"/>
  <c r="Q32" i="92"/>
  <c r="Z32" i="92" s="1"/>
  <c r="J32" i="92"/>
  <c r="AC32" i="92" s="1"/>
  <c r="H32" i="92"/>
  <c r="AB32" i="92" s="1"/>
  <c r="F32" i="92"/>
  <c r="AA32" i="92" s="1"/>
  <c r="Q31" i="92"/>
  <c r="Z31" i="92" s="1"/>
  <c r="J31" i="92"/>
  <c r="AC31" i="92" s="1"/>
  <c r="H31" i="92"/>
  <c r="AB31" i="92" s="1"/>
  <c r="F31" i="92"/>
  <c r="AA31" i="92" s="1"/>
  <c r="Q30" i="92"/>
  <c r="Z30" i="92" s="1"/>
  <c r="J30" i="92"/>
  <c r="AC30" i="92" s="1"/>
  <c r="H30" i="92"/>
  <c r="AB30" i="92" s="1"/>
  <c r="F30" i="92"/>
  <c r="AA30" i="92" s="1"/>
  <c r="Q29" i="92"/>
  <c r="Z29" i="92" s="1"/>
  <c r="J29" i="92"/>
  <c r="AC29" i="92" s="1"/>
  <c r="H29" i="92"/>
  <c r="AB29" i="92" s="1"/>
  <c r="F29" i="92"/>
  <c r="AA29" i="92" s="1"/>
  <c r="Q28" i="92"/>
  <c r="Z28" i="92" s="1"/>
  <c r="J28" i="92"/>
  <c r="AC28" i="92" s="1"/>
  <c r="H28" i="92"/>
  <c r="F28" i="92"/>
  <c r="AA28" i="92" s="1"/>
  <c r="Q27" i="92"/>
  <c r="Z27" i="92" s="1"/>
  <c r="J27" i="92"/>
  <c r="AC27" i="92" s="1"/>
  <c r="H27" i="92"/>
  <c r="AB27" i="92" s="1"/>
  <c r="F27" i="92"/>
  <c r="AA27" i="92" s="1"/>
  <c r="Q25" i="92"/>
  <c r="Z25" i="92" s="1"/>
  <c r="J25" i="92"/>
  <c r="AC25" i="92" s="1"/>
  <c r="H25" i="92"/>
  <c r="AB25" i="92" s="1"/>
  <c r="F25" i="92"/>
  <c r="AA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J17" i="92"/>
  <c r="AC17" i="92" s="1"/>
  <c r="H17" i="92"/>
  <c r="AB17" i="92" s="1"/>
  <c r="F17" i="92"/>
  <c r="AA17" i="92" s="1"/>
  <c r="C17" i="92"/>
  <c r="Q15" i="92"/>
  <c r="Z15" i="92" s="1"/>
  <c r="J15" i="92"/>
  <c r="AC15" i="92" s="1"/>
  <c r="H15" i="92"/>
  <c r="AB15" i="92" s="1"/>
  <c r="F15" i="92"/>
  <c r="AA15"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W8" i="92" s="1"/>
  <c r="H8" i="92"/>
  <c r="AB8" i="92" s="1"/>
  <c r="F8" i="92"/>
  <c r="S8" i="92" s="1"/>
  <c r="E7" i="92"/>
  <c r="D2" i="92"/>
  <c r="U29" i="92" l="1"/>
  <c r="J45" i="92"/>
  <c r="AC45" i="92" s="1"/>
  <c r="W30" i="92"/>
  <c r="J43" i="92"/>
  <c r="AC43" i="92" s="1"/>
  <c r="J47" i="92"/>
  <c r="AC47" i="92" s="1"/>
  <c r="F43" i="92"/>
  <c r="AA43" i="92" s="1"/>
  <c r="F47" i="92"/>
  <c r="AA47" i="92" s="1"/>
  <c r="H43" i="92"/>
  <c r="AB43" i="92" s="1"/>
  <c r="G7" i="92"/>
  <c r="I7" i="92"/>
  <c r="U8" i="92"/>
  <c r="AA8" i="92"/>
  <c r="AC8" i="92"/>
  <c r="U9" i="92"/>
  <c r="S10" i="92"/>
  <c r="W10" i="92"/>
  <c r="U11" i="92"/>
  <c r="S12" i="92"/>
  <c r="W12" i="92"/>
  <c r="U13" i="92"/>
  <c r="S14" i="92"/>
  <c r="W14" i="92"/>
  <c r="S15" i="92"/>
  <c r="W15" i="92"/>
  <c r="S17" i="92"/>
  <c r="W17" i="92"/>
  <c r="S19" i="92"/>
  <c r="W19" i="92"/>
  <c r="S21" i="92"/>
  <c r="W21" i="92"/>
  <c r="S23" i="92"/>
  <c r="W23" i="92"/>
  <c r="U25" i="92"/>
  <c r="S27" i="92"/>
  <c r="W27" i="92"/>
  <c r="AB28" i="92"/>
  <c r="U28" i="92"/>
  <c r="W28" i="92"/>
  <c r="S30" i="92"/>
  <c r="AC34" i="92"/>
  <c r="W34" i="92"/>
  <c r="AC37" i="92"/>
  <c r="W37" i="92"/>
  <c r="S9" i="92"/>
  <c r="W9" i="92"/>
  <c r="U10" i="92"/>
  <c r="S11" i="92"/>
  <c r="W11" i="92"/>
  <c r="U12" i="92"/>
  <c r="S13" i="92"/>
  <c r="W13" i="92"/>
  <c r="U14" i="92"/>
  <c r="U15" i="92"/>
  <c r="U17" i="92"/>
  <c r="U19" i="92"/>
  <c r="U21" i="92"/>
  <c r="U23" i="92"/>
  <c r="S25" i="92"/>
  <c r="W25" i="92"/>
  <c r="U27" i="92"/>
  <c r="S28" i="92"/>
  <c r="U31" i="92"/>
  <c r="S32" i="92"/>
  <c r="W32" i="92"/>
  <c r="U33" i="92"/>
  <c r="H34" i="92"/>
  <c r="S35" i="92"/>
  <c r="W35" i="92"/>
  <c r="U36" i="92"/>
  <c r="H37" i="92"/>
  <c r="S38" i="92"/>
  <c r="W38" i="92"/>
  <c r="U39" i="92"/>
  <c r="S40" i="92"/>
  <c r="W40" i="92"/>
  <c r="U41" i="92"/>
  <c r="S42" i="92"/>
  <c r="W42" i="92"/>
  <c r="S44" i="92"/>
  <c r="W44" i="92"/>
  <c r="U45" i="92"/>
  <c r="S46" i="92"/>
  <c r="W46" i="92"/>
  <c r="U47" i="92"/>
  <c r="I55" i="92"/>
  <c r="J55" i="92" s="1"/>
  <c r="R48" i="92"/>
  <c r="V48" i="92"/>
  <c r="S29" i="92"/>
  <c r="W29" i="92"/>
  <c r="U30" i="92"/>
  <c r="S31" i="92"/>
  <c r="W31" i="92"/>
  <c r="U32" i="92"/>
  <c r="S33" i="92"/>
  <c r="W33" i="92"/>
  <c r="F34" i="92"/>
  <c r="U35" i="92"/>
  <c r="S36" i="92"/>
  <c r="W36" i="92"/>
  <c r="F37" i="92"/>
  <c r="U38" i="92"/>
  <c r="S39" i="92"/>
  <c r="W39" i="92"/>
  <c r="U40" i="92"/>
  <c r="S41" i="92"/>
  <c r="W41" i="92"/>
  <c r="U42" i="92"/>
  <c r="U44" i="92"/>
  <c r="S45" i="92"/>
  <c r="W45" i="92"/>
  <c r="U46" i="92"/>
  <c r="S47" i="92"/>
  <c r="W47" i="92"/>
  <c r="G55" i="92"/>
  <c r="H55" i="92" s="1"/>
  <c r="T48" i="92"/>
  <c r="U43" i="92" l="1"/>
  <c r="W43" i="92"/>
  <c r="S43" i="92"/>
  <c r="AB37" i="92"/>
  <c r="U37" i="92"/>
  <c r="AA37" i="92"/>
  <c r="S37" i="92"/>
  <c r="AA34" i="92"/>
  <c r="S34" i="92"/>
  <c r="AB34" i="92"/>
  <c r="U34" i="92"/>
  <c r="M14" i="3" l="1"/>
  <c r="K13" i="3"/>
  <c r="I13" i="3"/>
  <c r="F22" i="6" s="1"/>
  <c r="E2" i="96" s="1"/>
  <c r="D14" i="96" s="1"/>
  <c r="E7" i="86" l="1"/>
  <c r="I7" i="83"/>
  <c r="G7" i="83"/>
  <c r="R524" i="91"/>
  <c r="S524" i="91" s="1"/>
  <c r="Q524" i="91"/>
  <c r="O524" i="91"/>
  <c r="M524" i="91"/>
  <c r="K524" i="91"/>
  <c r="I524" i="91"/>
  <c r="G524" i="91"/>
  <c r="E524" i="91"/>
  <c r="C524" i="91"/>
  <c r="R523" i="91"/>
  <c r="S523" i="91" s="1"/>
  <c r="Q523" i="91"/>
  <c r="O523" i="91"/>
  <c r="M523" i="91"/>
  <c r="K523" i="91"/>
  <c r="I523" i="91"/>
  <c r="G523" i="91"/>
  <c r="E523" i="91"/>
  <c r="C523" i="91"/>
  <c r="R522" i="91"/>
  <c r="S522" i="91" s="1"/>
  <c r="Q522" i="91"/>
  <c r="O522" i="91"/>
  <c r="M522" i="91"/>
  <c r="K522" i="91"/>
  <c r="I522" i="91"/>
  <c r="G522" i="91"/>
  <c r="E522" i="91"/>
  <c r="C522" i="91"/>
  <c r="R521" i="91"/>
  <c r="S521" i="91" s="1"/>
  <c r="Q521" i="91"/>
  <c r="O521" i="91"/>
  <c r="M521" i="91"/>
  <c r="K521" i="91"/>
  <c r="I521" i="91"/>
  <c r="G521" i="91"/>
  <c r="E521" i="91"/>
  <c r="C521" i="91"/>
  <c r="R520" i="91"/>
  <c r="S520" i="91" s="1"/>
  <c r="Q520" i="91"/>
  <c r="O520" i="91"/>
  <c r="M520" i="91"/>
  <c r="K520" i="91"/>
  <c r="I520" i="91"/>
  <c r="G520" i="91"/>
  <c r="E520" i="91"/>
  <c r="C520" i="91"/>
  <c r="R519" i="91"/>
  <c r="S519" i="91" s="1"/>
  <c r="Q519" i="91"/>
  <c r="O519" i="91"/>
  <c r="M519" i="91"/>
  <c r="K519" i="91"/>
  <c r="I519" i="91"/>
  <c r="G519" i="91"/>
  <c r="E519" i="91"/>
  <c r="C519" i="91"/>
  <c r="R518" i="91"/>
  <c r="S518" i="91" s="1"/>
  <c r="Q518" i="91"/>
  <c r="O518" i="91"/>
  <c r="M518" i="91"/>
  <c r="K518" i="91"/>
  <c r="I518" i="91"/>
  <c r="G518" i="91"/>
  <c r="E518" i="91"/>
  <c r="C518" i="91"/>
  <c r="R517" i="91"/>
  <c r="S517" i="91" s="1"/>
  <c r="Q517" i="91"/>
  <c r="O517" i="91"/>
  <c r="M517" i="91"/>
  <c r="K517" i="91"/>
  <c r="I517" i="91"/>
  <c r="G517" i="91"/>
  <c r="E517" i="91"/>
  <c r="C517" i="91"/>
  <c r="R516" i="91"/>
  <c r="S516" i="91" s="1"/>
  <c r="Q516" i="91"/>
  <c r="O516" i="91"/>
  <c r="M516" i="91"/>
  <c r="K516" i="91"/>
  <c r="I516" i="91"/>
  <c r="G516" i="91"/>
  <c r="E516" i="91"/>
  <c r="C516" i="91"/>
  <c r="R515" i="91"/>
  <c r="S515" i="91" s="1"/>
  <c r="Q515" i="91"/>
  <c r="O515" i="91"/>
  <c r="M515" i="91"/>
  <c r="K515" i="91"/>
  <c r="I515" i="91"/>
  <c r="G515" i="91"/>
  <c r="E515" i="91"/>
  <c r="C515" i="91"/>
  <c r="R514" i="91"/>
  <c r="S514" i="91" s="1"/>
  <c r="Q514" i="91"/>
  <c r="O514" i="91"/>
  <c r="M514" i="91"/>
  <c r="K514" i="91"/>
  <c r="I514" i="91"/>
  <c r="G514" i="91"/>
  <c r="E514" i="91"/>
  <c r="C514" i="91"/>
  <c r="R513" i="91"/>
  <c r="S513" i="91" s="1"/>
  <c r="Q513" i="91"/>
  <c r="O513" i="91"/>
  <c r="M513" i="91"/>
  <c r="K513" i="91"/>
  <c r="I513" i="91"/>
  <c r="G513" i="91"/>
  <c r="E513" i="91"/>
  <c r="C513" i="91"/>
  <c r="R512" i="91"/>
  <c r="S512" i="91" s="1"/>
  <c r="Q512" i="91"/>
  <c r="O512" i="91"/>
  <c r="M512" i="91"/>
  <c r="K512" i="91"/>
  <c r="I512" i="91"/>
  <c r="G512" i="91"/>
  <c r="E512" i="91"/>
  <c r="C512" i="91"/>
  <c r="R511" i="91"/>
  <c r="S511" i="91" s="1"/>
  <c r="Q511" i="91"/>
  <c r="O511" i="91"/>
  <c r="M511" i="91"/>
  <c r="K511" i="91"/>
  <c r="I511" i="91"/>
  <c r="G511" i="91"/>
  <c r="E511" i="91"/>
  <c r="C511" i="91"/>
  <c r="R510" i="91"/>
  <c r="S510" i="91" s="1"/>
  <c r="Q510" i="91"/>
  <c r="O510" i="91"/>
  <c r="M510" i="91"/>
  <c r="K510" i="91"/>
  <c r="I510" i="91"/>
  <c r="G510" i="91"/>
  <c r="E510" i="91"/>
  <c r="C510" i="91"/>
  <c r="R509" i="91"/>
  <c r="S509" i="91" s="1"/>
  <c r="Q509" i="91"/>
  <c r="O509" i="91"/>
  <c r="M509" i="91"/>
  <c r="K509" i="91"/>
  <c r="I509" i="91"/>
  <c r="G509" i="91"/>
  <c r="E509" i="91"/>
  <c r="C509" i="91"/>
  <c r="R508" i="91"/>
  <c r="S508" i="91" s="1"/>
  <c r="Q508" i="91"/>
  <c r="O508" i="91"/>
  <c r="M508" i="91"/>
  <c r="K508" i="91"/>
  <c r="I508" i="91"/>
  <c r="G508" i="91"/>
  <c r="E508" i="91"/>
  <c r="C508" i="91"/>
  <c r="R507" i="91"/>
  <c r="S507" i="91" s="1"/>
  <c r="Q507" i="91"/>
  <c r="O507" i="91"/>
  <c r="M507" i="91"/>
  <c r="K507" i="91"/>
  <c r="I507" i="91"/>
  <c r="G507" i="91"/>
  <c r="E507" i="91"/>
  <c r="C507" i="91"/>
  <c r="R506" i="91"/>
  <c r="S506" i="91" s="1"/>
  <c r="Q506" i="91"/>
  <c r="O506" i="91"/>
  <c r="M506" i="91"/>
  <c r="K506" i="91"/>
  <c r="I506" i="91"/>
  <c r="G506" i="91"/>
  <c r="E506" i="91"/>
  <c r="C506" i="91"/>
  <c r="R505" i="91"/>
  <c r="S505" i="91" s="1"/>
  <c r="Q505" i="91"/>
  <c r="O505" i="91"/>
  <c r="M505" i="91"/>
  <c r="K505" i="91"/>
  <c r="I505" i="91"/>
  <c r="G505" i="91"/>
  <c r="E505" i="91"/>
  <c r="C505" i="91"/>
  <c r="R504" i="91"/>
  <c r="S504" i="91" s="1"/>
  <c r="Q504" i="91"/>
  <c r="O504" i="91"/>
  <c r="M504" i="91"/>
  <c r="K504" i="91"/>
  <c r="I504" i="91"/>
  <c r="G504" i="91"/>
  <c r="E504" i="91"/>
  <c r="C504" i="91"/>
  <c r="R503" i="91"/>
  <c r="S503" i="91" s="1"/>
  <c r="Q503" i="91"/>
  <c r="O503" i="91"/>
  <c r="M503" i="91"/>
  <c r="K503" i="91"/>
  <c r="I503" i="91"/>
  <c r="G503" i="91"/>
  <c r="E503" i="91"/>
  <c r="C503" i="91"/>
  <c r="R502" i="91"/>
  <c r="S502" i="91" s="1"/>
  <c r="Q502" i="91"/>
  <c r="O502" i="91"/>
  <c r="M502" i="91"/>
  <c r="K502" i="91"/>
  <c r="I502" i="91"/>
  <c r="G502" i="91"/>
  <c r="E502" i="91"/>
  <c r="C502" i="91"/>
  <c r="R501" i="91"/>
  <c r="S501" i="91" s="1"/>
  <c r="Q501" i="91"/>
  <c r="O501" i="91"/>
  <c r="M501" i="91"/>
  <c r="K501" i="91"/>
  <c r="I501" i="91"/>
  <c r="G501" i="91"/>
  <c r="E501" i="91"/>
  <c r="C501" i="91"/>
  <c r="R500" i="91"/>
  <c r="S500" i="91" s="1"/>
  <c r="Q500" i="91"/>
  <c r="O500" i="91"/>
  <c r="M500" i="91"/>
  <c r="K500" i="91"/>
  <c r="I500" i="91"/>
  <c r="G500" i="91"/>
  <c r="E500" i="91"/>
  <c r="C500" i="91"/>
  <c r="R499" i="91"/>
  <c r="S499" i="91" s="1"/>
  <c r="Q499" i="91"/>
  <c r="O499" i="91"/>
  <c r="M499" i="91"/>
  <c r="K499" i="91"/>
  <c r="I499" i="91"/>
  <c r="G499" i="91"/>
  <c r="E499" i="91"/>
  <c r="C499" i="91"/>
  <c r="R498" i="91"/>
  <c r="S498" i="91" s="1"/>
  <c r="Q498" i="91"/>
  <c r="O498" i="91"/>
  <c r="M498" i="91"/>
  <c r="K498" i="91"/>
  <c r="I498" i="91"/>
  <c r="G498" i="91"/>
  <c r="E498" i="91"/>
  <c r="C498" i="91"/>
  <c r="R497" i="91"/>
  <c r="S497" i="91" s="1"/>
  <c r="Q497" i="91"/>
  <c r="O497" i="91"/>
  <c r="M497" i="91"/>
  <c r="K497" i="91"/>
  <c r="I497" i="91"/>
  <c r="G497" i="91"/>
  <c r="E497" i="91"/>
  <c r="C497" i="91"/>
  <c r="R496" i="91"/>
  <c r="S496" i="91" s="1"/>
  <c r="Q496" i="91"/>
  <c r="O496" i="91"/>
  <c r="M496" i="91"/>
  <c r="K496" i="91"/>
  <c r="I496" i="91"/>
  <c r="G496" i="91"/>
  <c r="E496" i="91"/>
  <c r="C496" i="91"/>
  <c r="R495" i="91"/>
  <c r="S495" i="91" s="1"/>
  <c r="Q495" i="91"/>
  <c r="O495" i="91"/>
  <c r="M495" i="91"/>
  <c r="K495" i="91"/>
  <c r="I495" i="91"/>
  <c r="G495" i="91"/>
  <c r="E495" i="91"/>
  <c r="C495" i="91"/>
  <c r="R494" i="91"/>
  <c r="S494" i="91" s="1"/>
  <c r="Q494" i="91"/>
  <c r="O494" i="91"/>
  <c r="M494" i="91"/>
  <c r="K494" i="91"/>
  <c r="I494" i="91"/>
  <c r="G494" i="91"/>
  <c r="E494" i="91"/>
  <c r="C494" i="91"/>
  <c r="R493" i="91"/>
  <c r="S493" i="91" s="1"/>
  <c r="Q493" i="91"/>
  <c r="O493" i="91"/>
  <c r="M493" i="91"/>
  <c r="K493" i="91"/>
  <c r="I493" i="91"/>
  <c r="G493" i="91"/>
  <c r="E493" i="91"/>
  <c r="C493" i="91"/>
  <c r="R492" i="91"/>
  <c r="S492" i="91" s="1"/>
  <c r="Q492" i="91"/>
  <c r="O492" i="91"/>
  <c r="M492" i="91"/>
  <c r="K492" i="91"/>
  <c r="I492" i="91"/>
  <c r="G492" i="91"/>
  <c r="E492" i="91"/>
  <c r="C492" i="91"/>
  <c r="R491" i="91"/>
  <c r="S491" i="91" s="1"/>
  <c r="Q491" i="91"/>
  <c r="O491" i="91"/>
  <c r="M491" i="91"/>
  <c r="K491" i="91"/>
  <c r="I491" i="91"/>
  <c r="G491" i="91"/>
  <c r="E491" i="91"/>
  <c r="C491" i="91"/>
  <c r="R490" i="91"/>
  <c r="S490" i="91" s="1"/>
  <c r="Q490" i="91"/>
  <c r="O490" i="91"/>
  <c r="M490" i="91"/>
  <c r="K490" i="91"/>
  <c r="I490" i="91"/>
  <c r="G490" i="91"/>
  <c r="E490" i="91"/>
  <c r="C490" i="91"/>
  <c r="R489" i="91"/>
  <c r="S489" i="91" s="1"/>
  <c r="Q489" i="91"/>
  <c r="O489" i="91"/>
  <c r="M489" i="91"/>
  <c r="K489" i="91"/>
  <c r="I489" i="91"/>
  <c r="G489" i="91"/>
  <c r="E489" i="91"/>
  <c r="C489" i="91"/>
  <c r="R488" i="91"/>
  <c r="S488" i="91" s="1"/>
  <c r="Q488" i="91"/>
  <c r="O488" i="91"/>
  <c r="M488" i="91"/>
  <c r="K488" i="91"/>
  <c r="I488" i="91"/>
  <c r="G488" i="91"/>
  <c r="E488" i="91"/>
  <c r="C488" i="91"/>
  <c r="R487" i="91"/>
  <c r="S487" i="91" s="1"/>
  <c r="Q487" i="91"/>
  <c r="O487" i="91"/>
  <c r="M487" i="91"/>
  <c r="K487" i="91"/>
  <c r="I487" i="91"/>
  <c r="G487" i="91"/>
  <c r="E487" i="91"/>
  <c r="C487" i="91"/>
  <c r="R486" i="91"/>
  <c r="S486" i="91" s="1"/>
  <c r="Q486" i="91"/>
  <c r="O486" i="91"/>
  <c r="M486" i="91"/>
  <c r="K486" i="91"/>
  <c r="I486" i="91"/>
  <c r="G486" i="91"/>
  <c r="E486" i="91"/>
  <c r="C486" i="91"/>
  <c r="R485" i="91"/>
  <c r="S485" i="91" s="1"/>
  <c r="Q485" i="91"/>
  <c r="O485" i="91"/>
  <c r="M485" i="91"/>
  <c r="K485" i="91"/>
  <c r="I485" i="91"/>
  <c r="G485" i="91"/>
  <c r="E485" i="91"/>
  <c r="C485" i="91"/>
  <c r="R484" i="91"/>
  <c r="S484" i="91" s="1"/>
  <c r="Q484" i="91"/>
  <c r="O484" i="91"/>
  <c r="M484" i="91"/>
  <c r="K484" i="91"/>
  <c r="I484" i="91"/>
  <c r="G484" i="91"/>
  <c r="E484" i="91"/>
  <c r="C484" i="91"/>
  <c r="R483" i="91"/>
  <c r="S483" i="91" s="1"/>
  <c r="Q483" i="91"/>
  <c r="O483" i="91"/>
  <c r="M483" i="91"/>
  <c r="K483" i="91"/>
  <c r="I483" i="91"/>
  <c r="G483" i="91"/>
  <c r="E483" i="91"/>
  <c r="C483" i="91"/>
  <c r="R482" i="91"/>
  <c r="S482" i="91" s="1"/>
  <c r="Q482" i="91"/>
  <c r="O482" i="91"/>
  <c r="M482" i="91"/>
  <c r="K482" i="91"/>
  <c r="I482" i="91"/>
  <c r="G482" i="91"/>
  <c r="E482" i="91"/>
  <c r="C482" i="91"/>
  <c r="R481" i="91"/>
  <c r="S481" i="91" s="1"/>
  <c r="Q481" i="91"/>
  <c r="O481" i="91"/>
  <c r="M481" i="91"/>
  <c r="K481" i="91"/>
  <c r="I481" i="91"/>
  <c r="G481" i="91"/>
  <c r="E481" i="91"/>
  <c r="C481" i="91"/>
  <c r="R480" i="91"/>
  <c r="S480" i="91" s="1"/>
  <c r="Q480" i="91"/>
  <c r="O480" i="91"/>
  <c r="M480" i="91"/>
  <c r="K480" i="91"/>
  <c r="I480" i="91"/>
  <c r="G480" i="91"/>
  <c r="E480" i="91"/>
  <c r="C480" i="91"/>
  <c r="R479" i="91"/>
  <c r="S479" i="91" s="1"/>
  <c r="Q479" i="91"/>
  <c r="O479" i="91"/>
  <c r="M479" i="91"/>
  <c r="K479" i="91"/>
  <c r="I479" i="91"/>
  <c r="G479" i="91"/>
  <c r="E479" i="91"/>
  <c r="C479" i="91"/>
  <c r="R478" i="91"/>
  <c r="S478" i="91" s="1"/>
  <c r="Q478" i="91"/>
  <c r="O478" i="91"/>
  <c r="M478" i="91"/>
  <c r="K478" i="91"/>
  <c r="I478" i="91"/>
  <c r="G478" i="91"/>
  <c r="E478" i="91"/>
  <c r="C478" i="91"/>
  <c r="R477" i="91"/>
  <c r="S477" i="91" s="1"/>
  <c r="Q477" i="91"/>
  <c r="O477" i="91"/>
  <c r="M477" i="91"/>
  <c r="K477" i="91"/>
  <c r="I477" i="91"/>
  <c r="G477" i="91"/>
  <c r="E477" i="91"/>
  <c r="C477" i="91"/>
  <c r="R476" i="91"/>
  <c r="S476" i="91" s="1"/>
  <c r="Q476" i="91"/>
  <c r="O476" i="91"/>
  <c r="M476" i="91"/>
  <c r="K476" i="91"/>
  <c r="I476" i="91"/>
  <c r="G476" i="91"/>
  <c r="E476" i="91"/>
  <c r="C476" i="91"/>
  <c r="R475" i="91"/>
  <c r="S475" i="91" s="1"/>
  <c r="Q475" i="91"/>
  <c r="O475" i="91"/>
  <c r="M475" i="91"/>
  <c r="K475" i="91"/>
  <c r="I475" i="91"/>
  <c r="G475" i="91"/>
  <c r="E475" i="91"/>
  <c r="C475" i="91"/>
  <c r="R474" i="91"/>
  <c r="S474" i="91" s="1"/>
  <c r="Q474" i="91"/>
  <c r="O474" i="91"/>
  <c r="M474" i="91"/>
  <c r="K474" i="91"/>
  <c r="I474" i="91"/>
  <c r="G474" i="91"/>
  <c r="E474" i="91"/>
  <c r="C474" i="91"/>
  <c r="R473" i="91"/>
  <c r="S473" i="91" s="1"/>
  <c r="Q473" i="91"/>
  <c r="O473" i="91"/>
  <c r="M473" i="91"/>
  <c r="K473" i="91"/>
  <c r="I473" i="91"/>
  <c r="G473" i="91"/>
  <c r="E473" i="91"/>
  <c r="C473" i="91"/>
  <c r="R472" i="91"/>
  <c r="S472" i="91" s="1"/>
  <c r="Q472" i="91"/>
  <c r="O472" i="91"/>
  <c r="M472" i="91"/>
  <c r="K472" i="91"/>
  <c r="I472" i="91"/>
  <c r="G472" i="91"/>
  <c r="E472" i="91"/>
  <c r="C472" i="91"/>
  <c r="R471" i="91"/>
  <c r="S471" i="91" s="1"/>
  <c r="Q471" i="91"/>
  <c r="O471" i="91"/>
  <c r="M471" i="91"/>
  <c r="K471" i="91"/>
  <c r="I471" i="91"/>
  <c r="G471" i="91"/>
  <c r="E471" i="91"/>
  <c r="C471" i="91"/>
  <c r="R470" i="91"/>
  <c r="S470" i="91" s="1"/>
  <c r="Q470" i="91"/>
  <c r="O470" i="91"/>
  <c r="M470" i="91"/>
  <c r="K470" i="91"/>
  <c r="I470" i="91"/>
  <c r="G470" i="91"/>
  <c r="E470" i="91"/>
  <c r="C470" i="91"/>
  <c r="R469" i="91"/>
  <c r="S469" i="91" s="1"/>
  <c r="Q469" i="91"/>
  <c r="O469" i="91"/>
  <c r="M469" i="91"/>
  <c r="K469" i="91"/>
  <c r="I469" i="91"/>
  <c r="G469" i="91"/>
  <c r="E469" i="91"/>
  <c r="C469" i="91"/>
  <c r="R468" i="91"/>
  <c r="S468" i="91" s="1"/>
  <c r="Q468" i="91"/>
  <c r="O468" i="91"/>
  <c r="M468" i="91"/>
  <c r="K468" i="91"/>
  <c r="I468" i="91"/>
  <c r="G468" i="91"/>
  <c r="E468" i="91"/>
  <c r="C468" i="91"/>
  <c r="R467" i="91"/>
  <c r="S467" i="91" s="1"/>
  <c r="Q467" i="91"/>
  <c r="O467" i="91"/>
  <c r="M467" i="91"/>
  <c r="K467" i="91"/>
  <c r="I467" i="91"/>
  <c r="G467" i="91"/>
  <c r="E467" i="91"/>
  <c r="C467" i="91"/>
  <c r="R466" i="91"/>
  <c r="S466" i="91" s="1"/>
  <c r="Q466" i="91"/>
  <c r="O466" i="91"/>
  <c r="M466" i="91"/>
  <c r="K466" i="91"/>
  <c r="I466" i="91"/>
  <c r="G466" i="91"/>
  <c r="E466" i="91"/>
  <c r="C466" i="91"/>
  <c r="R465" i="91"/>
  <c r="S465" i="91" s="1"/>
  <c r="Q465" i="91"/>
  <c r="O465" i="91"/>
  <c r="M465" i="91"/>
  <c r="K465" i="91"/>
  <c r="I465" i="91"/>
  <c r="G465" i="91"/>
  <c r="E465" i="91"/>
  <c r="C465" i="91"/>
  <c r="R464" i="91"/>
  <c r="S464" i="91" s="1"/>
  <c r="Q464" i="91"/>
  <c r="O464" i="91"/>
  <c r="M464" i="91"/>
  <c r="K464" i="91"/>
  <c r="I464" i="91"/>
  <c r="G464" i="91"/>
  <c r="E464" i="91"/>
  <c r="C464" i="91"/>
  <c r="R463" i="91"/>
  <c r="S463" i="91" s="1"/>
  <c r="Q463" i="91"/>
  <c r="O463" i="91"/>
  <c r="M463" i="91"/>
  <c r="K463" i="91"/>
  <c r="I463" i="91"/>
  <c r="G463" i="91"/>
  <c r="E463" i="91"/>
  <c r="C463" i="91"/>
  <c r="R462" i="91"/>
  <c r="S462" i="91" s="1"/>
  <c r="Q462" i="91"/>
  <c r="O462" i="91"/>
  <c r="M462" i="91"/>
  <c r="K462" i="91"/>
  <c r="I462" i="91"/>
  <c r="G462" i="91"/>
  <c r="E462" i="91"/>
  <c r="C462" i="91"/>
  <c r="R461" i="91"/>
  <c r="S461" i="91" s="1"/>
  <c r="Q461" i="91"/>
  <c r="O461" i="91"/>
  <c r="M461" i="91"/>
  <c r="K461" i="91"/>
  <c r="I461" i="91"/>
  <c r="G461" i="91"/>
  <c r="E461" i="91"/>
  <c r="C461" i="91"/>
  <c r="R460" i="91"/>
  <c r="S460" i="91" s="1"/>
  <c r="Q460" i="91"/>
  <c r="O460" i="91"/>
  <c r="M460" i="91"/>
  <c r="K460" i="91"/>
  <c r="I460" i="91"/>
  <c r="G460" i="91"/>
  <c r="E460" i="91"/>
  <c r="C460" i="91"/>
  <c r="R459" i="91"/>
  <c r="S459" i="91" s="1"/>
  <c r="Q459" i="91"/>
  <c r="O459" i="91"/>
  <c r="M459" i="91"/>
  <c r="K459" i="91"/>
  <c r="I459" i="91"/>
  <c r="G459" i="91"/>
  <c r="E459" i="91"/>
  <c r="C459" i="91"/>
  <c r="R458" i="91"/>
  <c r="S458" i="91" s="1"/>
  <c r="Q458" i="91"/>
  <c r="O458" i="91"/>
  <c r="M458" i="91"/>
  <c r="K458" i="91"/>
  <c r="I458" i="91"/>
  <c r="G458" i="91"/>
  <c r="E458" i="91"/>
  <c r="C458" i="91"/>
  <c r="R457" i="91"/>
  <c r="S457" i="91" s="1"/>
  <c r="Q457" i="91"/>
  <c r="O457" i="91"/>
  <c r="M457" i="91"/>
  <c r="K457" i="91"/>
  <c r="I457" i="91"/>
  <c r="G457" i="91"/>
  <c r="E457" i="91"/>
  <c r="C457" i="91"/>
  <c r="R456" i="91"/>
  <c r="S456" i="91" s="1"/>
  <c r="Q456" i="91"/>
  <c r="O456" i="91"/>
  <c r="M456" i="91"/>
  <c r="K456" i="91"/>
  <c r="I456" i="91"/>
  <c r="G456" i="91"/>
  <c r="E456" i="91"/>
  <c r="C456" i="91"/>
  <c r="R455" i="91"/>
  <c r="S455" i="91" s="1"/>
  <c r="Q455" i="91"/>
  <c r="O455" i="91"/>
  <c r="M455" i="91"/>
  <c r="K455" i="91"/>
  <c r="I455" i="91"/>
  <c r="G455" i="91"/>
  <c r="E455" i="91"/>
  <c r="C455" i="91"/>
  <c r="R454" i="91"/>
  <c r="S454" i="91" s="1"/>
  <c r="Q454" i="91"/>
  <c r="O454" i="91"/>
  <c r="M454" i="91"/>
  <c r="K454" i="91"/>
  <c r="I454" i="91"/>
  <c r="G454" i="91"/>
  <c r="E454" i="91"/>
  <c r="C454" i="91"/>
  <c r="R453" i="91"/>
  <c r="S453" i="91" s="1"/>
  <c r="Q453" i="91"/>
  <c r="O453" i="91"/>
  <c r="M453" i="91"/>
  <c r="K453" i="91"/>
  <c r="I453" i="91"/>
  <c r="G453" i="91"/>
  <c r="E453" i="91"/>
  <c r="C453" i="91"/>
  <c r="R452" i="91"/>
  <c r="S452" i="91" s="1"/>
  <c r="Q452" i="91"/>
  <c r="O452" i="91"/>
  <c r="M452" i="91"/>
  <c r="K452" i="91"/>
  <c r="I452" i="91"/>
  <c r="G452" i="91"/>
  <c r="E452" i="91"/>
  <c r="C452" i="91"/>
  <c r="R451" i="91"/>
  <c r="S451" i="91" s="1"/>
  <c r="Q451" i="91"/>
  <c r="O451" i="91"/>
  <c r="M451" i="91"/>
  <c r="K451" i="91"/>
  <c r="I451" i="91"/>
  <c r="G451" i="91"/>
  <c r="E451" i="91"/>
  <c r="C451" i="91"/>
  <c r="R450" i="91"/>
  <c r="S450" i="91" s="1"/>
  <c r="Q450" i="91"/>
  <c r="O450" i="91"/>
  <c r="M450" i="91"/>
  <c r="K450" i="91"/>
  <c r="I450" i="91"/>
  <c r="G450" i="91"/>
  <c r="E450" i="91"/>
  <c r="C450" i="91"/>
  <c r="R449" i="91"/>
  <c r="S449" i="91" s="1"/>
  <c r="Q449" i="91"/>
  <c r="O449" i="91"/>
  <c r="M449" i="91"/>
  <c r="K449" i="91"/>
  <c r="I449" i="91"/>
  <c r="G449" i="91"/>
  <c r="E449" i="91"/>
  <c r="C449" i="91"/>
  <c r="R448" i="91"/>
  <c r="S448" i="91" s="1"/>
  <c r="Q448" i="91"/>
  <c r="O448" i="91"/>
  <c r="M448" i="91"/>
  <c r="K448" i="91"/>
  <c r="I448" i="91"/>
  <c r="G448" i="91"/>
  <c r="E448" i="91"/>
  <c r="C448" i="91"/>
  <c r="R447" i="91"/>
  <c r="S447" i="91" s="1"/>
  <c r="Q447" i="91"/>
  <c r="O447" i="91"/>
  <c r="M447" i="91"/>
  <c r="K447" i="91"/>
  <c r="I447" i="91"/>
  <c r="G447" i="91"/>
  <c r="E447" i="91"/>
  <c r="C447" i="91"/>
  <c r="R446" i="91"/>
  <c r="S446" i="91" s="1"/>
  <c r="Q446" i="91"/>
  <c r="O446" i="91"/>
  <c r="M446" i="91"/>
  <c r="K446" i="91"/>
  <c r="I446" i="91"/>
  <c r="G446" i="91"/>
  <c r="E446" i="91"/>
  <c r="C446" i="91"/>
  <c r="R445" i="91"/>
  <c r="S445" i="91" s="1"/>
  <c r="Q445" i="91"/>
  <c r="O445" i="91"/>
  <c r="M445" i="91"/>
  <c r="K445" i="91"/>
  <c r="I445" i="91"/>
  <c r="G445" i="91"/>
  <c r="E445" i="91"/>
  <c r="C445" i="91"/>
  <c r="R444" i="91"/>
  <c r="S444" i="91" s="1"/>
  <c r="Q444" i="91"/>
  <c r="O444" i="91"/>
  <c r="M444" i="91"/>
  <c r="K444" i="91"/>
  <c r="I444" i="91"/>
  <c r="G444" i="91"/>
  <c r="E444" i="91"/>
  <c r="C444" i="91"/>
  <c r="R443" i="91"/>
  <c r="S443" i="91" s="1"/>
  <c r="Q443" i="91"/>
  <c r="O443" i="91"/>
  <c r="M443" i="91"/>
  <c r="K443" i="91"/>
  <c r="I443" i="91"/>
  <c r="G443" i="91"/>
  <c r="E443" i="91"/>
  <c r="C443" i="91"/>
  <c r="R442" i="91"/>
  <c r="S442" i="91" s="1"/>
  <c r="Q442" i="91"/>
  <c r="O442" i="91"/>
  <c r="M442" i="91"/>
  <c r="K442" i="91"/>
  <c r="I442" i="91"/>
  <c r="G442" i="91"/>
  <c r="E442" i="91"/>
  <c r="C442" i="91"/>
  <c r="R441" i="91"/>
  <c r="S441" i="91" s="1"/>
  <c r="Q441" i="91"/>
  <c r="O441" i="91"/>
  <c r="M441" i="91"/>
  <c r="K441" i="91"/>
  <c r="I441" i="91"/>
  <c r="G441" i="91"/>
  <c r="E441" i="91"/>
  <c r="C441" i="91"/>
  <c r="R440" i="91"/>
  <c r="S440" i="91" s="1"/>
  <c r="Q440" i="91"/>
  <c r="O440" i="91"/>
  <c r="M440" i="91"/>
  <c r="K440" i="91"/>
  <c r="I440" i="91"/>
  <c r="G440" i="91"/>
  <c r="E440" i="91"/>
  <c r="C440" i="91"/>
  <c r="R439" i="91"/>
  <c r="S439" i="91" s="1"/>
  <c r="Q439" i="91"/>
  <c r="O439" i="91"/>
  <c r="M439" i="91"/>
  <c r="K439" i="91"/>
  <c r="I439" i="91"/>
  <c r="G439" i="91"/>
  <c r="E439" i="91"/>
  <c r="C439" i="91"/>
  <c r="R438" i="91"/>
  <c r="S438" i="91" s="1"/>
  <c r="Q438" i="91"/>
  <c r="O438" i="91"/>
  <c r="M438" i="91"/>
  <c r="K438" i="91"/>
  <c r="I438" i="91"/>
  <c r="G438" i="91"/>
  <c r="E438" i="91"/>
  <c r="C438" i="91"/>
  <c r="R437" i="91"/>
  <c r="S437" i="91" s="1"/>
  <c r="Q437" i="91"/>
  <c r="O437" i="91"/>
  <c r="M437" i="91"/>
  <c r="K437" i="91"/>
  <c r="I437" i="91"/>
  <c r="G437" i="91"/>
  <c r="E437" i="91"/>
  <c r="C437" i="91"/>
  <c r="R436" i="91"/>
  <c r="S436" i="91" s="1"/>
  <c r="Q436" i="91"/>
  <c r="O436" i="91"/>
  <c r="M436" i="91"/>
  <c r="K436" i="91"/>
  <c r="I436" i="91"/>
  <c r="G436" i="91"/>
  <c r="E436" i="91"/>
  <c r="C436" i="91"/>
  <c r="R435" i="91"/>
  <c r="S435" i="91" s="1"/>
  <c r="Q435" i="91"/>
  <c r="O435" i="91"/>
  <c r="M435" i="91"/>
  <c r="K435" i="91"/>
  <c r="I435" i="91"/>
  <c r="G435" i="91"/>
  <c r="E435" i="91"/>
  <c r="C435" i="91"/>
  <c r="R434" i="91"/>
  <c r="S434" i="91" s="1"/>
  <c r="Q434" i="91"/>
  <c r="O434" i="91"/>
  <c r="M434" i="91"/>
  <c r="K434" i="91"/>
  <c r="I434" i="91"/>
  <c r="G434" i="91"/>
  <c r="E434" i="91"/>
  <c r="C434" i="91"/>
  <c r="R433" i="91"/>
  <c r="S433" i="91" s="1"/>
  <c r="Q433" i="91"/>
  <c r="O433" i="91"/>
  <c r="M433" i="91"/>
  <c r="K433" i="91"/>
  <c r="I433" i="91"/>
  <c r="G433" i="91"/>
  <c r="E433" i="91"/>
  <c r="C433" i="91"/>
  <c r="R432" i="91"/>
  <c r="S432" i="91" s="1"/>
  <c r="Q432" i="91"/>
  <c r="O432" i="91"/>
  <c r="M432" i="91"/>
  <c r="K432" i="91"/>
  <c r="I432" i="91"/>
  <c r="G432" i="91"/>
  <c r="E432" i="91"/>
  <c r="C432" i="91"/>
  <c r="R431" i="91"/>
  <c r="S431" i="91" s="1"/>
  <c r="Q431" i="91"/>
  <c r="O431" i="91"/>
  <c r="M431" i="91"/>
  <c r="K431" i="91"/>
  <c r="I431" i="91"/>
  <c r="G431" i="91"/>
  <c r="E431" i="91"/>
  <c r="C431" i="91"/>
  <c r="R430" i="91"/>
  <c r="S430" i="91" s="1"/>
  <c r="Q430" i="91"/>
  <c r="O430" i="91"/>
  <c r="M430" i="91"/>
  <c r="K430" i="91"/>
  <c r="I430" i="91"/>
  <c r="G430" i="91"/>
  <c r="E430" i="91"/>
  <c r="C430" i="91"/>
  <c r="R429" i="91"/>
  <c r="S429" i="91" s="1"/>
  <c r="Q429" i="91"/>
  <c r="O429" i="91"/>
  <c r="M429" i="91"/>
  <c r="K429" i="91"/>
  <c r="I429" i="91"/>
  <c r="G429" i="91"/>
  <c r="E429" i="91"/>
  <c r="C429" i="91"/>
  <c r="R428" i="91"/>
  <c r="S428" i="91" s="1"/>
  <c r="Q428" i="91"/>
  <c r="O428" i="91"/>
  <c r="M428" i="91"/>
  <c r="K428" i="91"/>
  <c r="I428" i="91"/>
  <c r="G428" i="91"/>
  <c r="E428" i="91"/>
  <c r="C428" i="91"/>
  <c r="R427" i="91"/>
  <c r="S427" i="91" s="1"/>
  <c r="Q427" i="91"/>
  <c r="O427" i="91"/>
  <c r="M427" i="91"/>
  <c r="K427" i="91"/>
  <c r="I427" i="91"/>
  <c r="G427" i="91"/>
  <c r="E427" i="91"/>
  <c r="C427" i="91"/>
  <c r="R426" i="91"/>
  <c r="S426" i="91" s="1"/>
  <c r="Q426" i="91"/>
  <c r="O426" i="91"/>
  <c r="M426" i="91"/>
  <c r="K426" i="91"/>
  <c r="I426" i="91"/>
  <c r="G426" i="91"/>
  <c r="E426" i="91"/>
  <c r="C426" i="91"/>
  <c r="R425" i="91"/>
  <c r="S425" i="91" s="1"/>
  <c r="Q425" i="91"/>
  <c r="O425" i="91"/>
  <c r="M425" i="91"/>
  <c r="K425" i="91"/>
  <c r="I425" i="91"/>
  <c r="G425" i="91"/>
  <c r="E425" i="91"/>
  <c r="C425" i="91"/>
  <c r="R424" i="91"/>
  <c r="S424" i="91" s="1"/>
  <c r="Q424" i="91"/>
  <c r="O424" i="91"/>
  <c r="M424" i="91"/>
  <c r="K424" i="91"/>
  <c r="I424" i="91"/>
  <c r="G424" i="91"/>
  <c r="E424" i="91"/>
  <c r="C424" i="91"/>
  <c r="R423" i="91"/>
  <c r="S423" i="91" s="1"/>
  <c r="Q423" i="91"/>
  <c r="O423" i="91"/>
  <c r="M423" i="91"/>
  <c r="K423" i="91"/>
  <c r="I423" i="91"/>
  <c r="G423" i="91"/>
  <c r="E423" i="91"/>
  <c r="C423" i="91"/>
  <c r="R422" i="91"/>
  <c r="S422" i="91" s="1"/>
  <c r="Q422" i="91"/>
  <c r="O422" i="91"/>
  <c r="M422" i="91"/>
  <c r="K422" i="91"/>
  <c r="I422" i="91"/>
  <c r="G422" i="91"/>
  <c r="E422" i="91"/>
  <c r="C422" i="91"/>
  <c r="R421" i="91"/>
  <c r="S421" i="91" s="1"/>
  <c r="Q421" i="91"/>
  <c r="O421" i="91"/>
  <c r="M421" i="91"/>
  <c r="K421" i="91"/>
  <c r="I421" i="91"/>
  <c r="G421" i="91"/>
  <c r="E421" i="91"/>
  <c r="C421" i="91"/>
  <c r="R420" i="91"/>
  <c r="S420" i="91" s="1"/>
  <c r="Q420" i="91"/>
  <c r="O420" i="91"/>
  <c r="M420" i="91"/>
  <c r="K420" i="91"/>
  <c r="I420" i="91"/>
  <c r="G420" i="91"/>
  <c r="E420" i="91"/>
  <c r="C420" i="91"/>
  <c r="R419" i="91"/>
  <c r="S419" i="91" s="1"/>
  <c r="Q419" i="91"/>
  <c r="O419" i="91"/>
  <c r="M419" i="91"/>
  <c r="K419" i="91"/>
  <c r="I419" i="91"/>
  <c r="G419" i="91"/>
  <c r="E419" i="91"/>
  <c r="C419" i="91"/>
  <c r="R418" i="91"/>
  <c r="S418" i="91" s="1"/>
  <c r="Q418" i="91"/>
  <c r="O418" i="91"/>
  <c r="M418" i="91"/>
  <c r="K418" i="91"/>
  <c r="I418" i="91"/>
  <c r="G418" i="91"/>
  <c r="E418" i="91"/>
  <c r="C418" i="91"/>
  <c r="R417" i="91"/>
  <c r="S417" i="91" s="1"/>
  <c r="Q417" i="91"/>
  <c r="O417" i="91"/>
  <c r="M417" i="91"/>
  <c r="K417" i="91"/>
  <c r="I417" i="91"/>
  <c r="G417" i="91"/>
  <c r="E417" i="91"/>
  <c r="C417" i="91"/>
  <c r="R416" i="91"/>
  <c r="S416" i="91" s="1"/>
  <c r="Q416" i="91"/>
  <c r="O416" i="91"/>
  <c r="M416" i="91"/>
  <c r="K416" i="91"/>
  <c r="I416" i="91"/>
  <c r="G416" i="91"/>
  <c r="E416" i="91"/>
  <c r="C416" i="91"/>
  <c r="R415" i="91"/>
  <c r="S415" i="91" s="1"/>
  <c r="Q415" i="91"/>
  <c r="O415" i="91"/>
  <c r="M415" i="91"/>
  <c r="K415" i="91"/>
  <c r="I415" i="91"/>
  <c r="G415" i="91"/>
  <c r="E415" i="91"/>
  <c r="C415" i="91"/>
  <c r="R414" i="91"/>
  <c r="S414" i="91" s="1"/>
  <c r="Q414" i="91"/>
  <c r="O414" i="91"/>
  <c r="M414" i="91"/>
  <c r="K414" i="91"/>
  <c r="I414" i="91"/>
  <c r="G414" i="91"/>
  <c r="E414" i="91"/>
  <c r="C414" i="91"/>
  <c r="R413" i="91"/>
  <c r="S413" i="91" s="1"/>
  <c r="Q413" i="91"/>
  <c r="O413" i="91"/>
  <c r="M413" i="91"/>
  <c r="K413" i="91"/>
  <c r="I413" i="91"/>
  <c r="G413" i="91"/>
  <c r="E413" i="91"/>
  <c r="C413" i="91"/>
  <c r="R412" i="91"/>
  <c r="S412" i="91" s="1"/>
  <c r="Q412" i="91"/>
  <c r="O412" i="91"/>
  <c r="M412" i="91"/>
  <c r="K412" i="91"/>
  <c r="I412" i="91"/>
  <c r="G412" i="91"/>
  <c r="E412" i="91"/>
  <c r="C412" i="91"/>
  <c r="R411" i="91"/>
  <c r="S411" i="91" s="1"/>
  <c r="Q411" i="91"/>
  <c r="O411" i="91"/>
  <c r="M411" i="91"/>
  <c r="K411" i="91"/>
  <c r="I411" i="91"/>
  <c r="G411" i="91"/>
  <c r="E411" i="91"/>
  <c r="C411" i="91"/>
  <c r="R410" i="91"/>
  <c r="S410" i="91" s="1"/>
  <c r="Q410" i="91"/>
  <c r="O410" i="91"/>
  <c r="M410" i="91"/>
  <c r="K410" i="91"/>
  <c r="I410" i="91"/>
  <c r="G410" i="91"/>
  <c r="E410" i="91"/>
  <c r="C410" i="91"/>
  <c r="R409" i="91"/>
  <c r="S409" i="91" s="1"/>
  <c r="Q409" i="91"/>
  <c r="O409" i="91"/>
  <c r="M409" i="91"/>
  <c r="K409" i="91"/>
  <c r="I409" i="91"/>
  <c r="G409" i="91"/>
  <c r="E409" i="91"/>
  <c r="C409" i="91"/>
  <c r="R408" i="91"/>
  <c r="S408" i="91" s="1"/>
  <c r="Q408" i="91"/>
  <c r="O408" i="91"/>
  <c r="M408" i="91"/>
  <c r="K408" i="91"/>
  <c r="I408" i="91"/>
  <c r="G408" i="91"/>
  <c r="E408" i="91"/>
  <c r="C408" i="91"/>
  <c r="R407" i="91"/>
  <c r="S407" i="91" s="1"/>
  <c r="Q407" i="91"/>
  <c r="O407" i="91"/>
  <c r="M407" i="91"/>
  <c r="K407" i="91"/>
  <c r="I407" i="91"/>
  <c r="G407" i="91"/>
  <c r="E407" i="91"/>
  <c r="C407" i="91"/>
  <c r="R406" i="91"/>
  <c r="S406" i="91" s="1"/>
  <c r="Q406" i="91"/>
  <c r="O406" i="91"/>
  <c r="M406" i="91"/>
  <c r="K406" i="91"/>
  <c r="I406" i="91"/>
  <c r="G406" i="91"/>
  <c r="E406" i="91"/>
  <c r="C406" i="91"/>
  <c r="R405" i="91"/>
  <c r="S405" i="91" s="1"/>
  <c r="Q405" i="91"/>
  <c r="O405" i="91"/>
  <c r="M405" i="91"/>
  <c r="K405" i="91"/>
  <c r="I405" i="91"/>
  <c r="G405" i="91"/>
  <c r="E405" i="91"/>
  <c r="C405" i="91"/>
  <c r="R404" i="91"/>
  <c r="S404" i="91" s="1"/>
  <c r="Q404" i="91"/>
  <c r="O404" i="91"/>
  <c r="M404" i="91"/>
  <c r="K404" i="91"/>
  <c r="I404" i="91"/>
  <c r="G404" i="91"/>
  <c r="E404" i="91"/>
  <c r="C404" i="91"/>
  <c r="R403" i="91"/>
  <c r="S403" i="91" s="1"/>
  <c r="Q403" i="91"/>
  <c r="O403" i="91"/>
  <c r="M403" i="91"/>
  <c r="K403" i="91"/>
  <c r="I403" i="91"/>
  <c r="G403" i="91"/>
  <c r="E403" i="91"/>
  <c r="C403" i="91"/>
  <c r="R402" i="91"/>
  <c r="S402" i="91" s="1"/>
  <c r="Q402" i="91"/>
  <c r="O402" i="91"/>
  <c r="M402" i="91"/>
  <c r="K402" i="91"/>
  <c r="I402" i="91"/>
  <c r="G402" i="91"/>
  <c r="E402" i="91"/>
  <c r="C402" i="91"/>
  <c r="R401" i="91"/>
  <c r="S401" i="91" s="1"/>
  <c r="Q401" i="91"/>
  <c r="O401" i="91"/>
  <c r="M401" i="91"/>
  <c r="K401" i="91"/>
  <c r="I401" i="91"/>
  <c r="G401" i="91"/>
  <c r="E401" i="91"/>
  <c r="C401" i="91"/>
  <c r="R400" i="91"/>
  <c r="S400" i="91" s="1"/>
  <c r="Q400" i="91"/>
  <c r="O400" i="91"/>
  <c r="M400" i="91"/>
  <c r="K400" i="91"/>
  <c r="I400" i="91"/>
  <c r="G400" i="91"/>
  <c r="E400" i="91"/>
  <c r="C400" i="91"/>
  <c r="R399" i="91"/>
  <c r="S399" i="91" s="1"/>
  <c r="Q399" i="91"/>
  <c r="O399" i="91"/>
  <c r="M399" i="91"/>
  <c r="K399" i="91"/>
  <c r="I399" i="91"/>
  <c r="G399" i="91"/>
  <c r="E399" i="91"/>
  <c r="C399" i="91"/>
  <c r="R398" i="91"/>
  <c r="S398" i="91" s="1"/>
  <c r="Q398" i="91"/>
  <c r="O398" i="91"/>
  <c r="M398" i="91"/>
  <c r="K398" i="91"/>
  <c r="I398" i="91"/>
  <c r="G398" i="91"/>
  <c r="E398" i="91"/>
  <c r="C398" i="91"/>
  <c r="R397" i="91"/>
  <c r="S397" i="91" s="1"/>
  <c r="Q397" i="91"/>
  <c r="O397" i="91"/>
  <c r="M397" i="91"/>
  <c r="K397" i="91"/>
  <c r="I397" i="91"/>
  <c r="G397" i="91"/>
  <c r="E397" i="91"/>
  <c r="C397" i="91"/>
  <c r="R396" i="91"/>
  <c r="S396" i="91" s="1"/>
  <c r="Q396" i="91"/>
  <c r="O396" i="91"/>
  <c r="M396" i="91"/>
  <c r="K396" i="91"/>
  <c r="I396" i="91"/>
  <c r="G396" i="91"/>
  <c r="E396" i="91"/>
  <c r="C396" i="91"/>
  <c r="R395" i="91"/>
  <c r="S395" i="91" s="1"/>
  <c r="Q395" i="91"/>
  <c r="O395" i="91"/>
  <c r="M395" i="91"/>
  <c r="K395" i="91"/>
  <c r="I395" i="91"/>
  <c r="G395" i="91"/>
  <c r="E395" i="91"/>
  <c r="C395" i="91"/>
  <c r="R394" i="91"/>
  <c r="S394" i="91" s="1"/>
  <c r="Q394" i="91"/>
  <c r="O394" i="91"/>
  <c r="M394" i="91"/>
  <c r="K394" i="91"/>
  <c r="I394" i="91"/>
  <c r="G394" i="91"/>
  <c r="E394" i="91"/>
  <c r="C394" i="91"/>
  <c r="R393" i="91"/>
  <c r="S393" i="91" s="1"/>
  <c r="Q393" i="91"/>
  <c r="O393" i="91"/>
  <c r="M393" i="91"/>
  <c r="K393" i="91"/>
  <c r="I393" i="91"/>
  <c r="G393" i="91"/>
  <c r="E393" i="91"/>
  <c r="C393" i="91"/>
  <c r="R392" i="91"/>
  <c r="S392" i="91" s="1"/>
  <c r="Q392" i="91"/>
  <c r="O392" i="91"/>
  <c r="M392" i="91"/>
  <c r="K392" i="91"/>
  <c r="I392" i="91"/>
  <c r="G392" i="91"/>
  <c r="E392" i="91"/>
  <c r="C392" i="91"/>
  <c r="R391" i="91"/>
  <c r="S391" i="91" s="1"/>
  <c r="Q391" i="91"/>
  <c r="O391" i="91"/>
  <c r="M391" i="91"/>
  <c r="K391" i="91"/>
  <c r="I391" i="91"/>
  <c r="G391" i="91"/>
  <c r="E391" i="91"/>
  <c r="C391" i="91"/>
  <c r="R390" i="91"/>
  <c r="S390" i="91" s="1"/>
  <c r="Q390" i="91"/>
  <c r="O390" i="91"/>
  <c r="M390" i="91"/>
  <c r="K390" i="91"/>
  <c r="I390" i="91"/>
  <c r="G390" i="91"/>
  <c r="E390" i="91"/>
  <c r="C390" i="91"/>
  <c r="R389" i="91"/>
  <c r="S389" i="91" s="1"/>
  <c r="Q389" i="91"/>
  <c r="O389" i="91"/>
  <c r="M389" i="91"/>
  <c r="K389" i="91"/>
  <c r="I389" i="91"/>
  <c r="G389" i="91"/>
  <c r="E389" i="91"/>
  <c r="C389" i="91"/>
  <c r="R388" i="91"/>
  <c r="S388" i="91" s="1"/>
  <c r="Q388" i="91"/>
  <c r="O388" i="91"/>
  <c r="M388" i="91"/>
  <c r="K388" i="91"/>
  <c r="I388" i="91"/>
  <c r="G388" i="91"/>
  <c r="E388" i="91"/>
  <c r="C388" i="91"/>
  <c r="R387" i="91"/>
  <c r="S387" i="91" s="1"/>
  <c r="Q387" i="91"/>
  <c r="O387" i="91"/>
  <c r="M387" i="91"/>
  <c r="K387" i="91"/>
  <c r="I387" i="91"/>
  <c r="G387" i="91"/>
  <c r="E387" i="91"/>
  <c r="C387" i="91"/>
  <c r="R386" i="91"/>
  <c r="S386" i="91" s="1"/>
  <c r="Q386" i="91"/>
  <c r="O386" i="91"/>
  <c r="M386" i="91"/>
  <c r="K386" i="91"/>
  <c r="I386" i="91"/>
  <c r="G386" i="91"/>
  <c r="E386" i="91"/>
  <c r="C386" i="91"/>
  <c r="R385" i="91"/>
  <c r="S385" i="91" s="1"/>
  <c r="Q385" i="91"/>
  <c r="O385" i="91"/>
  <c r="M385" i="91"/>
  <c r="K385" i="91"/>
  <c r="I385" i="91"/>
  <c r="G385" i="91"/>
  <c r="E385" i="91"/>
  <c r="C385" i="91"/>
  <c r="R384" i="91"/>
  <c r="S384" i="91" s="1"/>
  <c r="Q384" i="91"/>
  <c r="O384" i="91"/>
  <c r="M384" i="91"/>
  <c r="K384" i="91"/>
  <c r="I384" i="91"/>
  <c r="G384" i="91"/>
  <c r="E384" i="91"/>
  <c r="C384" i="91"/>
  <c r="R383" i="91"/>
  <c r="S383" i="91" s="1"/>
  <c r="Q383" i="91"/>
  <c r="O383" i="91"/>
  <c r="M383" i="91"/>
  <c r="K383" i="91"/>
  <c r="I383" i="91"/>
  <c r="G383" i="91"/>
  <c r="E383" i="91"/>
  <c r="C383" i="91"/>
  <c r="R382" i="91"/>
  <c r="S382" i="91" s="1"/>
  <c r="Q382" i="91"/>
  <c r="O382" i="91"/>
  <c r="M382" i="91"/>
  <c r="K382" i="91"/>
  <c r="I382" i="91"/>
  <c r="G382" i="91"/>
  <c r="E382" i="91"/>
  <c r="C382" i="91"/>
  <c r="R381" i="91"/>
  <c r="S381" i="91" s="1"/>
  <c r="Q381" i="91"/>
  <c r="O381" i="91"/>
  <c r="M381" i="91"/>
  <c r="K381" i="91"/>
  <c r="I381" i="91"/>
  <c r="G381" i="91"/>
  <c r="E381" i="91"/>
  <c r="C381" i="91"/>
  <c r="R380" i="91"/>
  <c r="S380" i="91" s="1"/>
  <c r="Q380" i="91"/>
  <c r="O380" i="91"/>
  <c r="M380" i="91"/>
  <c r="K380" i="91"/>
  <c r="I380" i="91"/>
  <c r="G380" i="91"/>
  <c r="E380" i="91"/>
  <c r="C380" i="91"/>
  <c r="R379" i="91"/>
  <c r="S379" i="91" s="1"/>
  <c r="Q379" i="91"/>
  <c r="O379" i="91"/>
  <c r="M379" i="91"/>
  <c r="K379" i="91"/>
  <c r="I379" i="91"/>
  <c r="G379" i="91"/>
  <c r="E379" i="91"/>
  <c r="C379" i="91"/>
  <c r="R378" i="91"/>
  <c r="S378" i="91" s="1"/>
  <c r="Q378" i="91"/>
  <c r="O378" i="91"/>
  <c r="M378" i="91"/>
  <c r="K378" i="91"/>
  <c r="I378" i="91"/>
  <c r="G378" i="91"/>
  <c r="E378" i="91"/>
  <c r="C378" i="91"/>
  <c r="R377" i="91"/>
  <c r="S377" i="91" s="1"/>
  <c r="Q377" i="91"/>
  <c r="O377" i="91"/>
  <c r="M377" i="91"/>
  <c r="K377" i="91"/>
  <c r="I377" i="91"/>
  <c r="G377" i="91"/>
  <c r="E377" i="91"/>
  <c r="C377" i="91"/>
  <c r="R376" i="91"/>
  <c r="S376" i="91" s="1"/>
  <c r="Q376" i="91"/>
  <c r="O376" i="91"/>
  <c r="M376" i="91"/>
  <c r="K376" i="91"/>
  <c r="I376" i="91"/>
  <c r="G376" i="91"/>
  <c r="E376" i="91"/>
  <c r="C376" i="91"/>
  <c r="R375" i="91"/>
  <c r="S375" i="91" s="1"/>
  <c r="Q375" i="91"/>
  <c r="O375" i="91"/>
  <c r="M375" i="91"/>
  <c r="K375" i="91"/>
  <c r="I375" i="91"/>
  <c r="G375" i="91"/>
  <c r="E375" i="91"/>
  <c r="C375" i="91"/>
  <c r="R374" i="91"/>
  <c r="S374" i="91" s="1"/>
  <c r="Q374" i="91"/>
  <c r="O374" i="91"/>
  <c r="M374" i="91"/>
  <c r="K374" i="91"/>
  <c r="I374" i="91"/>
  <c r="G374" i="91"/>
  <c r="E374" i="91"/>
  <c r="C374" i="91"/>
  <c r="R373" i="91"/>
  <c r="S373" i="91" s="1"/>
  <c r="Q373" i="91"/>
  <c r="O373" i="91"/>
  <c r="M373" i="91"/>
  <c r="K373" i="91"/>
  <c r="I373" i="91"/>
  <c r="G373" i="91"/>
  <c r="E373" i="91"/>
  <c r="C373" i="91"/>
  <c r="R372" i="91"/>
  <c r="S372" i="91" s="1"/>
  <c r="Q372" i="91"/>
  <c r="O372" i="91"/>
  <c r="M372" i="91"/>
  <c r="K372" i="91"/>
  <c r="I372" i="91"/>
  <c r="G372" i="91"/>
  <c r="E372" i="91"/>
  <c r="C372" i="91"/>
  <c r="R371" i="91"/>
  <c r="S371" i="91" s="1"/>
  <c r="Q371" i="91"/>
  <c r="O371" i="91"/>
  <c r="M371" i="91"/>
  <c r="K371" i="91"/>
  <c r="I371" i="91"/>
  <c r="G371" i="91"/>
  <c r="E371" i="91"/>
  <c r="C371" i="91"/>
  <c r="R370" i="91"/>
  <c r="S370" i="91" s="1"/>
  <c r="Q370" i="91"/>
  <c r="O370" i="91"/>
  <c r="M370" i="91"/>
  <c r="K370" i="91"/>
  <c r="I370" i="91"/>
  <c r="G370" i="91"/>
  <c r="E370" i="91"/>
  <c r="C370" i="91"/>
  <c r="R369" i="91"/>
  <c r="S369" i="91" s="1"/>
  <c r="Q369" i="91"/>
  <c r="O369" i="91"/>
  <c r="M369" i="91"/>
  <c r="K369" i="91"/>
  <c r="I369" i="91"/>
  <c r="G369" i="91"/>
  <c r="E369" i="91"/>
  <c r="C369" i="91"/>
  <c r="R368" i="91"/>
  <c r="S368" i="91" s="1"/>
  <c r="Q368" i="91"/>
  <c r="O368" i="91"/>
  <c r="M368" i="91"/>
  <c r="K368" i="91"/>
  <c r="I368" i="91"/>
  <c r="G368" i="91"/>
  <c r="E368" i="91"/>
  <c r="C368" i="91"/>
  <c r="R367" i="91"/>
  <c r="S367" i="91" s="1"/>
  <c r="Q367" i="91"/>
  <c r="O367" i="91"/>
  <c r="M367" i="91"/>
  <c r="K367" i="91"/>
  <c r="I367" i="91"/>
  <c r="G367" i="91"/>
  <c r="E367" i="91"/>
  <c r="C367" i="91"/>
  <c r="R366" i="91"/>
  <c r="S366" i="91" s="1"/>
  <c r="Q366" i="91"/>
  <c r="O366" i="91"/>
  <c r="M366" i="91"/>
  <c r="K366" i="91"/>
  <c r="I366" i="91"/>
  <c r="G366" i="91"/>
  <c r="E366" i="91"/>
  <c r="C366" i="91"/>
  <c r="R365" i="91"/>
  <c r="S365" i="91" s="1"/>
  <c r="Q365" i="91"/>
  <c r="O365" i="91"/>
  <c r="M365" i="91"/>
  <c r="K365" i="91"/>
  <c r="I365" i="91"/>
  <c r="G365" i="91"/>
  <c r="E365" i="91"/>
  <c r="C365" i="91"/>
  <c r="R364" i="91"/>
  <c r="S364" i="91" s="1"/>
  <c r="Q364" i="91"/>
  <c r="O364" i="91"/>
  <c r="M364" i="91"/>
  <c r="K364" i="91"/>
  <c r="I364" i="91"/>
  <c r="G364" i="91"/>
  <c r="E364" i="91"/>
  <c r="C364" i="91"/>
  <c r="R363" i="91"/>
  <c r="S363" i="91" s="1"/>
  <c r="Q363" i="91"/>
  <c r="O363" i="91"/>
  <c r="M363" i="91"/>
  <c r="K363" i="91"/>
  <c r="I363" i="91"/>
  <c r="G363" i="91"/>
  <c r="E363" i="91"/>
  <c r="C363" i="91"/>
  <c r="R362" i="91"/>
  <c r="S362" i="91" s="1"/>
  <c r="Q362" i="91"/>
  <c r="O362" i="91"/>
  <c r="M362" i="91"/>
  <c r="K362" i="91"/>
  <c r="I362" i="91"/>
  <c r="G362" i="91"/>
  <c r="E362" i="91"/>
  <c r="C362" i="91"/>
  <c r="R361" i="91"/>
  <c r="S361" i="91" s="1"/>
  <c r="Q361" i="91"/>
  <c r="O361" i="91"/>
  <c r="M361" i="91"/>
  <c r="K361" i="91"/>
  <c r="I361" i="91"/>
  <c r="G361" i="91"/>
  <c r="E361" i="91"/>
  <c r="C361" i="91"/>
  <c r="R360" i="91"/>
  <c r="S360" i="91" s="1"/>
  <c r="Q360" i="91"/>
  <c r="O360" i="91"/>
  <c r="M360" i="91"/>
  <c r="K360" i="91"/>
  <c r="I360" i="91"/>
  <c r="G360" i="91"/>
  <c r="E360" i="91"/>
  <c r="C360" i="91"/>
  <c r="R359" i="91"/>
  <c r="S359" i="91" s="1"/>
  <c r="Q359" i="91"/>
  <c r="O359" i="91"/>
  <c r="M359" i="91"/>
  <c r="K359" i="91"/>
  <c r="I359" i="91"/>
  <c r="G359" i="91"/>
  <c r="E359" i="91"/>
  <c r="C359" i="91"/>
  <c r="R358" i="91"/>
  <c r="S358" i="91" s="1"/>
  <c r="Q358" i="91"/>
  <c r="O358" i="91"/>
  <c r="M358" i="91"/>
  <c r="K358" i="91"/>
  <c r="I358" i="91"/>
  <c r="G358" i="91"/>
  <c r="E358" i="91"/>
  <c r="C358" i="91"/>
  <c r="R357" i="91"/>
  <c r="S357" i="91" s="1"/>
  <c r="Q357" i="91"/>
  <c r="O357" i="91"/>
  <c r="M357" i="91"/>
  <c r="K357" i="91"/>
  <c r="I357" i="91"/>
  <c r="G357" i="91"/>
  <c r="E357" i="91"/>
  <c r="C357" i="91"/>
  <c r="R356" i="91"/>
  <c r="S356" i="91" s="1"/>
  <c r="Q356" i="91"/>
  <c r="O356" i="91"/>
  <c r="M356" i="91"/>
  <c r="K356" i="91"/>
  <c r="I356" i="91"/>
  <c r="G356" i="91"/>
  <c r="E356" i="91"/>
  <c r="C356" i="91"/>
  <c r="R355" i="91"/>
  <c r="S355" i="91" s="1"/>
  <c r="Q355" i="91"/>
  <c r="O355" i="91"/>
  <c r="M355" i="91"/>
  <c r="K355" i="91"/>
  <c r="I355" i="91"/>
  <c r="G355" i="91"/>
  <c r="E355" i="91"/>
  <c r="C355" i="91"/>
  <c r="R354" i="91"/>
  <c r="S354" i="91" s="1"/>
  <c r="Q354" i="91"/>
  <c r="O354" i="91"/>
  <c r="M354" i="91"/>
  <c r="K354" i="91"/>
  <c r="I354" i="91"/>
  <c r="G354" i="91"/>
  <c r="E354" i="91"/>
  <c r="C354" i="91"/>
  <c r="R353" i="91"/>
  <c r="S353" i="91" s="1"/>
  <c r="Q353" i="91"/>
  <c r="O353" i="91"/>
  <c r="M353" i="91"/>
  <c r="K353" i="91"/>
  <c r="I353" i="91"/>
  <c r="G353" i="91"/>
  <c r="E353" i="91"/>
  <c r="C353" i="91"/>
  <c r="R352" i="91"/>
  <c r="S352" i="91" s="1"/>
  <c r="Q352" i="91"/>
  <c r="O352" i="91"/>
  <c r="M352" i="91"/>
  <c r="K352" i="91"/>
  <c r="I352" i="91"/>
  <c r="G352" i="91"/>
  <c r="E352" i="91"/>
  <c r="C352" i="91"/>
  <c r="R351" i="91"/>
  <c r="S351" i="91" s="1"/>
  <c r="Q351" i="91"/>
  <c r="O351" i="91"/>
  <c r="M351" i="91"/>
  <c r="K351" i="91"/>
  <c r="I351" i="91"/>
  <c r="G351" i="91"/>
  <c r="E351" i="91"/>
  <c r="C351" i="91"/>
  <c r="R350" i="91"/>
  <c r="S350" i="91" s="1"/>
  <c r="Q350" i="91"/>
  <c r="O350" i="91"/>
  <c r="M350" i="91"/>
  <c r="K350" i="91"/>
  <c r="I350" i="91"/>
  <c r="G350" i="91"/>
  <c r="E350" i="91"/>
  <c r="C350" i="91"/>
  <c r="R349" i="91"/>
  <c r="S349" i="91" s="1"/>
  <c r="Q349" i="91"/>
  <c r="O349" i="91"/>
  <c r="M349" i="91"/>
  <c r="K349" i="91"/>
  <c r="I349" i="91"/>
  <c r="G349" i="91"/>
  <c r="E349" i="91"/>
  <c r="C349" i="91"/>
  <c r="R348" i="91"/>
  <c r="S348" i="91" s="1"/>
  <c r="Q348" i="91"/>
  <c r="O348" i="91"/>
  <c r="M348" i="91"/>
  <c r="K348" i="91"/>
  <c r="I348" i="91"/>
  <c r="G348" i="91"/>
  <c r="E348" i="91"/>
  <c r="C348" i="91"/>
  <c r="R347" i="91"/>
  <c r="S347" i="91" s="1"/>
  <c r="Q347" i="91"/>
  <c r="O347" i="91"/>
  <c r="M347" i="91"/>
  <c r="K347" i="91"/>
  <c r="I347" i="91"/>
  <c r="G347" i="91"/>
  <c r="E347" i="91"/>
  <c r="C347" i="91"/>
  <c r="R346" i="91"/>
  <c r="S346" i="91" s="1"/>
  <c r="Q346" i="91"/>
  <c r="O346" i="91"/>
  <c r="M346" i="91"/>
  <c r="K346" i="91"/>
  <c r="I346" i="91"/>
  <c r="G346" i="91"/>
  <c r="E346" i="91"/>
  <c r="C346" i="91"/>
  <c r="R345" i="91"/>
  <c r="S345" i="91" s="1"/>
  <c r="Q345" i="91"/>
  <c r="O345" i="91"/>
  <c r="M345" i="91"/>
  <c r="K345" i="91"/>
  <c r="I345" i="91"/>
  <c r="G345" i="91"/>
  <c r="E345" i="91"/>
  <c r="C345" i="91"/>
  <c r="R344" i="91"/>
  <c r="S344" i="91" s="1"/>
  <c r="Q344" i="91"/>
  <c r="O344" i="91"/>
  <c r="M344" i="91"/>
  <c r="K344" i="91"/>
  <c r="I344" i="91"/>
  <c r="G344" i="91"/>
  <c r="E344" i="91"/>
  <c r="C344" i="91"/>
  <c r="R343" i="91"/>
  <c r="S343" i="91" s="1"/>
  <c r="Q343" i="91"/>
  <c r="O343" i="91"/>
  <c r="M343" i="91"/>
  <c r="K343" i="91"/>
  <c r="I343" i="91"/>
  <c r="G343" i="91"/>
  <c r="E343" i="91"/>
  <c r="C343" i="91"/>
  <c r="R342" i="91"/>
  <c r="S342" i="91" s="1"/>
  <c r="Q342" i="91"/>
  <c r="O342" i="91"/>
  <c r="M342" i="91"/>
  <c r="K342" i="91"/>
  <c r="I342" i="91"/>
  <c r="G342" i="91"/>
  <c r="E342" i="91"/>
  <c r="C342" i="91"/>
  <c r="R341" i="91"/>
  <c r="S341" i="91" s="1"/>
  <c r="Q341" i="91"/>
  <c r="O341" i="91"/>
  <c r="M341" i="91"/>
  <c r="K341" i="91"/>
  <c r="I341" i="91"/>
  <c r="G341" i="91"/>
  <c r="E341" i="91"/>
  <c r="C341" i="91"/>
  <c r="R340" i="91"/>
  <c r="S340" i="91" s="1"/>
  <c r="Q340" i="91"/>
  <c r="O340" i="91"/>
  <c r="M340" i="91"/>
  <c r="K340" i="91"/>
  <c r="I340" i="91"/>
  <c r="G340" i="91"/>
  <c r="E340" i="91"/>
  <c r="C340" i="91"/>
  <c r="R339" i="91"/>
  <c r="S339" i="91" s="1"/>
  <c r="Q339" i="91"/>
  <c r="O339" i="91"/>
  <c r="M339" i="91"/>
  <c r="K339" i="91"/>
  <c r="I339" i="91"/>
  <c r="G339" i="91"/>
  <c r="E339" i="91"/>
  <c r="C339" i="91"/>
  <c r="R338" i="91"/>
  <c r="S338" i="91" s="1"/>
  <c r="Q338" i="91"/>
  <c r="O338" i="91"/>
  <c r="M338" i="91"/>
  <c r="K338" i="91"/>
  <c r="I338" i="91"/>
  <c r="G338" i="91"/>
  <c r="E338" i="91"/>
  <c r="C338" i="91"/>
  <c r="R337" i="91"/>
  <c r="S337" i="91" s="1"/>
  <c r="Q337" i="91"/>
  <c r="O337" i="91"/>
  <c r="M337" i="91"/>
  <c r="K337" i="91"/>
  <c r="I337" i="91"/>
  <c r="G337" i="91"/>
  <c r="E337" i="91"/>
  <c r="C337" i="91"/>
  <c r="R336" i="91"/>
  <c r="S336" i="91" s="1"/>
  <c r="Q336" i="91"/>
  <c r="O336" i="91"/>
  <c r="M336" i="91"/>
  <c r="K336" i="91"/>
  <c r="I336" i="91"/>
  <c r="G336" i="91"/>
  <c r="E336" i="91"/>
  <c r="C336" i="91"/>
  <c r="R335" i="91"/>
  <c r="S335" i="91" s="1"/>
  <c r="Q335" i="91"/>
  <c r="O335" i="91"/>
  <c r="M335" i="91"/>
  <c r="K335" i="91"/>
  <c r="I335" i="91"/>
  <c r="G335" i="91"/>
  <c r="E335" i="91"/>
  <c r="C335" i="91"/>
  <c r="R334" i="91"/>
  <c r="S334" i="91" s="1"/>
  <c r="Q334" i="91"/>
  <c r="O334" i="91"/>
  <c r="M334" i="91"/>
  <c r="K334" i="91"/>
  <c r="I334" i="91"/>
  <c r="G334" i="91"/>
  <c r="E334" i="91"/>
  <c r="C334" i="91"/>
  <c r="R333" i="91"/>
  <c r="S333" i="91" s="1"/>
  <c r="Q333" i="91"/>
  <c r="O333" i="91"/>
  <c r="M333" i="91"/>
  <c r="K333" i="91"/>
  <c r="I333" i="91"/>
  <c r="G333" i="91"/>
  <c r="E333" i="91"/>
  <c r="C333" i="91"/>
  <c r="R332" i="91"/>
  <c r="S332" i="91" s="1"/>
  <c r="Q332" i="91"/>
  <c r="O332" i="91"/>
  <c r="M332" i="91"/>
  <c r="K332" i="91"/>
  <c r="I332" i="91"/>
  <c r="G332" i="91"/>
  <c r="E332" i="91"/>
  <c r="C332" i="91"/>
  <c r="R331" i="91"/>
  <c r="S331" i="91" s="1"/>
  <c r="Q331" i="91"/>
  <c r="O331" i="91"/>
  <c r="M331" i="91"/>
  <c r="K331" i="91"/>
  <c r="I331" i="91"/>
  <c r="G331" i="91"/>
  <c r="E331" i="91"/>
  <c r="C331" i="91"/>
  <c r="R330" i="91"/>
  <c r="S330" i="91" s="1"/>
  <c r="Q330" i="91"/>
  <c r="O330" i="91"/>
  <c r="M330" i="91"/>
  <c r="K330" i="91"/>
  <c r="I330" i="91"/>
  <c r="G330" i="91"/>
  <c r="E330" i="91"/>
  <c r="C330" i="91"/>
  <c r="R329" i="91"/>
  <c r="S329" i="91" s="1"/>
  <c r="Q329" i="91"/>
  <c r="O329" i="91"/>
  <c r="M329" i="91"/>
  <c r="K329" i="91"/>
  <c r="I329" i="91"/>
  <c r="G329" i="91"/>
  <c r="E329" i="91"/>
  <c r="C329" i="91"/>
  <c r="R328" i="91"/>
  <c r="S328" i="91" s="1"/>
  <c r="Q328" i="91"/>
  <c r="O328" i="91"/>
  <c r="M328" i="91"/>
  <c r="K328" i="91"/>
  <c r="I328" i="91"/>
  <c r="G328" i="91"/>
  <c r="E328" i="91"/>
  <c r="C328" i="91"/>
  <c r="R327" i="91"/>
  <c r="S327" i="91" s="1"/>
  <c r="Q327" i="91"/>
  <c r="O327" i="91"/>
  <c r="M327" i="91"/>
  <c r="K327" i="91"/>
  <c r="I327" i="91"/>
  <c r="G327" i="91"/>
  <c r="E327" i="91"/>
  <c r="C327" i="91"/>
  <c r="R326" i="91"/>
  <c r="S326" i="91" s="1"/>
  <c r="Q326" i="91"/>
  <c r="O326" i="91"/>
  <c r="M326" i="91"/>
  <c r="K326" i="91"/>
  <c r="I326" i="91"/>
  <c r="G326" i="91"/>
  <c r="E326" i="91"/>
  <c r="C326" i="91"/>
  <c r="R325" i="91"/>
  <c r="S325" i="91" s="1"/>
  <c r="Q325" i="91"/>
  <c r="O325" i="91"/>
  <c r="M325" i="91"/>
  <c r="K325" i="91"/>
  <c r="I325" i="91"/>
  <c r="G325" i="91"/>
  <c r="E325" i="91"/>
  <c r="C325" i="91"/>
  <c r="R324" i="91"/>
  <c r="S324" i="91" s="1"/>
  <c r="Q324" i="91"/>
  <c r="O324" i="91"/>
  <c r="M324" i="91"/>
  <c r="K324" i="91"/>
  <c r="I324" i="91"/>
  <c r="G324" i="91"/>
  <c r="E324" i="91"/>
  <c r="C324" i="91"/>
  <c r="R323" i="91"/>
  <c r="S323" i="91" s="1"/>
  <c r="Q323" i="91"/>
  <c r="O323" i="91"/>
  <c r="M323" i="91"/>
  <c r="K323" i="91"/>
  <c r="I323" i="91"/>
  <c r="G323" i="91"/>
  <c r="E323" i="91"/>
  <c r="C323" i="91"/>
  <c r="R322" i="91"/>
  <c r="S322" i="91" s="1"/>
  <c r="Q322" i="91"/>
  <c r="O322" i="91"/>
  <c r="M322" i="91"/>
  <c r="K322" i="91"/>
  <c r="I322" i="91"/>
  <c r="G322" i="91"/>
  <c r="E322" i="91"/>
  <c r="C322" i="91"/>
  <c r="R321" i="91"/>
  <c r="S321" i="91" s="1"/>
  <c r="Q321" i="91"/>
  <c r="O321" i="91"/>
  <c r="M321" i="91"/>
  <c r="K321" i="91"/>
  <c r="I321" i="91"/>
  <c r="G321" i="91"/>
  <c r="E321" i="91"/>
  <c r="C321" i="91"/>
  <c r="R320" i="91"/>
  <c r="S320" i="91" s="1"/>
  <c r="Q320" i="91"/>
  <c r="O320" i="91"/>
  <c r="M320" i="91"/>
  <c r="K320" i="91"/>
  <c r="I320" i="91"/>
  <c r="G320" i="91"/>
  <c r="E320" i="91"/>
  <c r="C320" i="91"/>
  <c r="R319" i="91"/>
  <c r="S319" i="91" s="1"/>
  <c r="Q319" i="91"/>
  <c r="O319" i="91"/>
  <c r="M319" i="91"/>
  <c r="K319" i="91"/>
  <c r="I319" i="91"/>
  <c r="G319" i="91"/>
  <c r="E319" i="91"/>
  <c r="C319" i="91"/>
  <c r="R318" i="91"/>
  <c r="S318" i="91" s="1"/>
  <c r="Q318" i="91"/>
  <c r="O318" i="91"/>
  <c r="M318" i="91"/>
  <c r="K318" i="91"/>
  <c r="I318" i="91"/>
  <c r="G318" i="91"/>
  <c r="E318" i="91"/>
  <c r="C318" i="91"/>
  <c r="R317" i="91"/>
  <c r="S317" i="91" s="1"/>
  <c r="Q317" i="91"/>
  <c r="O317" i="91"/>
  <c r="M317" i="91"/>
  <c r="K317" i="91"/>
  <c r="I317" i="91"/>
  <c r="G317" i="91"/>
  <c r="E317" i="91"/>
  <c r="C317" i="91"/>
  <c r="R316" i="91"/>
  <c r="S316" i="91" s="1"/>
  <c r="Q316" i="91"/>
  <c r="O316" i="91"/>
  <c r="M316" i="91"/>
  <c r="K316" i="91"/>
  <c r="I316" i="91"/>
  <c r="G316" i="91"/>
  <c r="E316" i="91"/>
  <c r="C316" i="91"/>
  <c r="R315" i="91"/>
  <c r="S315" i="91" s="1"/>
  <c r="Q315" i="91"/>
  <c r="O315" i="91"/>
  <c r="M315" i="91"/>
  <c r="K315" i="91"/>
  <c r="I315" i="91"/>
  <c r="G315" i="91"/>
  <c r="E315" i="91"/>
  <c r="C315" i="91"/>
  <c r="R314" i="91"/>
  <c r="S314" i="91" s="1"/>
  <c r="Q314" i="91"/>
  <c r="O314" i="91"/>
  <c r="M314" i="91"/>
  <c r="K314" i="91"/>
  <c r="I314" i="91"/>
  <c r="G314" i="91"/>
  <c r="E314" i="91"/>
  <c r="C314" i="91"/>
  <c r="R313" i="91"/>
  <c r="S313" i="91" s="1"/>
  <c r="Q313" i="91"/>
  <c r="O313" i="91"/>
  <c r="M313" i="91"/>
  <c r="K313" i="91"/>
  <c r="I313" i="91"/>
  <c r="G313" i="91"/>
  <c r="E313" i="91"/>
  <c r="C313" i="91"/>
  <c r="R312" i="91"/>
  <c r="S312" i="91" s="1"/>
  <c r="Q312" i="91"/>
  <c r="O312" i="91"/>
  <c r="M312" i="91"/>
  <c r="K312" i="91"/>
  <c r="I312" i="91"/>
  <c r="G312" i="91"/>
  <c r="E312" i="91"/>
  <c r="C312" i="91"/>
  <c r="R311" i="91"/>
  <c r="S311" i="91" s="1"/>
  <c r="Q311" i="91"/>
  <c r="O311" i="91"/>
  <c r="M311" i="91"/>
  <c r="K311" i="91"/>
  <c r="I311" i="91"/>
  <c r="G311" i="91"/>
  <c r="E311" i="91"/>
  <c r="C311" i="91"/>
  <c r="R310" i="91"/>
  <c r="S310" i="91" s="1"/>
  <c r="Q310" i="91"/>
  <c r="O310" i="91"/>
  <c r="M310" i="91"/>
  <c r="K310" i="91"/>
  <c r="I310" i="91"/>
  <c r="G310" i="91"/>
  <c r="E310" i="91"/>
  <c r="C310" i="91"/>
  <c r="R309" i="91"/>
  <c r="S309" i="91" s="1"/>
  <c r="Q309" i="91"/>
  <c r="O309" i="91"/>
  <c r="M309" i="91"/>
  <c r="K309" i="91"/>
  <c r="I309" i="91"/>
  <c r="G309" i="91"/>
  <c r="E309" i="91"/>
  <c r="C309" i="91"/>
  <c r="R308" i="91"/>
  <c r="S308" i="91" s="1"/>
  <c r="Q308" i="91"/>
  <c r="O308" i="91"/>
  <c r="M308" i="91"/>
  <c r="K308" i="91"/>
  <c r="I308" i="91"/>
  <c r="G308" i="91"/>
  <c r="E308" i="91"/>
  <c r="C308" i="91"/>
  <c r="R307" i="91"/>
  <c r="S307" i="91" s="1"/>
  <c r="Q307" i="91"/>
  <c r="O307" i="91"/>
  <c r="M307" i="91"/>
  <c r="K307" i="91"/>
  <c r="I307" i="91"/>
  <c r="G307" i="91"/>
  <c r="E307" i="91"/>
  <c r="C307" i="91"/>
  <c r="R306" i="91"/>
  <c r="S306" i="91" s="1"/>
  <c r="Q306" i="91"/>
  <c r="O306" i="91"/>
  <c r="M306" i="91"/>
  <c r="K306" i="91"/>
  <c r="I306" i="91"/>
  <c r="G306" i="91"/>
  <c r="E306" i="91"/>
  <c r="C306" i="91"/>
  <c r="R305" i="91"/>
  <c r="S305" i="91" s="1"/>
  <c r="Q305" i="91"/>
  <c r="O305" i="91"/>
  <c r="M305" i="91"/>
  <c r="K305" i="91"/>
  <c r="I305" i="91"/>
  <c r="G305" i="91"/>
  <c r="E305" i="91"/>
  <c r="C305" i="91"/>
  <c r="R304" i="91"/>
  <c r="S304" i="91" s="1"/>
  <c r="Q304" i="91"/>
  <c r="O304" i="91"/>
  <c r="M304" i="91"/>
  <c r="K304" i="91"/>
  <c r="I304" i="91"/>
  <c r="G304" i="91"/>
  <c r="E304" i="91"/>
  <c r="C304" i="91"/>
  <c r="R303" i="91"/>
  <c r="S303" i="91" s="1"/>
  <c r="Q303" i="91"/>
  <c r="O303" i="91"/>
  <c r="M303" i="91"/>
  <c r="K303" i="91"/>
  <c r="I303" i="91"/>
  <c r="G303" i="91"/>
  <c r="E303" i="91"/>
  <c r="C303" i="91"/>
  <c r="R302" i="91"/>
  <c r="S302" i="91" s="1"/>
  <c r="Q302" i="91"/>
  <c r="O302" i="91"/>
  <c r="M302" i="91"/>
  <c r="K302" i="91"/>
  <c r="I302" i="91"/>
  <c r="G302" i="91"/>
  <c r="E302" i="91"/>
  <c r="C302" i="91"/>
  <c r="R301" i="91"/>
  <c r="S301" i="91" s="1"/>
  <c r="Q301" i="91"/>
  <c r="O301" i="91"/>
  <c r="M301" i="91"/>
  <c r="K301" i="91"/>
  <c r="I301" i="91"/>
  <c r="G301" i="91"/>
  <c r="E301" i="91"/>
  <c r="C301" i="91"/>
  <c r="R300" i="91"/>
  <c r="S300" i="91" s="1"/>
  <c r="Q300" i="91"/>
  <c r="O300" i="91"/>
  <c r="M300" i="91"/>
  <c r="K300" i="91"/>
  <c r="I300" i="91"/>
  <c r="G300" i="91"/>
  <c r="E300" i="91"/>
  <c r="C300" i="91"/>
  <c r="R299" i="91"/>
  <c r="S299" i="91" s="1"/>
  <c r="Q299" i="91"/>
  <c r="O299" i="91"/>
  <c r="M299" i="91"/>
  <c r="K299" i="91"/>
  <c r="I299" i="91"/>
  <c r="G299" i="91"/>
  <c r="E299" i="91"/>
  <c r="C299" i="91"/>
  <c r="R298" i="91"/>
  <c r="S298" i="91" s="1"/>
  <c r="Q298" i="91"/>
  <c r="O298" i="91"/>
  <c r="M298" i="91"/>
  <c r="K298" i="91"/>
  <c r="I298" i="91"/>
  <c r="G298" i="91"/>
  <c r="E298" i="91"/>
  <c r="C298" i="91"/>
  <c r="R297" i="91"/>
  <c r="S297" i="91" s="1"/>
  <c r="Q297" i="91"/>
  <c r="O297" i="91"/>
  <c r="M297" i="91"/>
  <c r="K297" i="91"/>
  <c r="I297" i="91"/>
  <c r="G297" i="91"/>
  <c r="E297" i="91"/>
  <c r="C297" i="91"/>
  <c r="R296" i="91"/>
  <c r="S296" i="91" s="1"/>
  <c r="Q296" i="91"/>
  <c r="O296" i="91"/>
  <c r="M296" i="91"/>
  <c r="K296" i="91"/>
  <c r="I296" i="91"/>
  <c r="G296" i="91"/>
  <c r="E296" i="91"/>
  <c r="C296" i="91"/>
  <c r="R295" i="91"/>
  <c r="S295" i="91" s="1"/>
  <c r="Q295" i="91"/>
  <c r="O295" i="91"/>
  <c r="M295" i="91"/>
  <c r="K295" i="91"/>
  <c r="I295" i="91"/>
  <c r="G295" i="91"/>
  <c r="E295" i="91"/>
  <c r="C295" i="91"/>
  <c r="R294" i="91"/>
  <c r="S294" i="91" s="1"/>
  <c r="Q294" i="91"/>
  <c r="O294" i="91"/>
  <c r="M294" i="91"/>
  <c r="K294" i="91"/>
  <c r="I294" i="91"/>
  <c r="G294" i="91"/>
  <c r="E294" i="91"/>
  <c r="C294" i="91"/>
  <c r="R293" i="91"/>
  <c r="S293" i="91" s="1"/>
  <c r="Q293" i="91"/>
  <c r="O293" i="91"/>
  <c r="M293" i="91"/>
  <c r="K293" i="91"/>
  <c r="I293" i="91"/>
  <c r="G293" i="91"/>
  <c r="E293" i="91"/>
  <c r="C293" i="91"/>
  <c r="R292" i="91"/>
  <c r="S292" i="91" s="1"/>
  <c r="Q292" i="91"/>
  <c r="O292" i="91"/>
  <c r="M292" i="91"/>
  <c r="K292" i="91"/>
  <c r="I292" i="91"/>
  <c r="G292" i="91"/>
  <c r="E292" i="91"/>
  <c r="C292" i="91"/>
  <c r="R291" i="91"/>
  <c r="S291" i="91" s="1"/>
  <c r="Q291" i="91"/>
  <c r="O291" i="91"/>
  <c r="M291" i="91"/>
  <c r="K291" i="91"/>
  <c r="I291" i="91"/>
  <c r="G291" i="91"/>
  <c r="E291" i="91"/>
  <c r="C291" i="91"/>
  <c r="R290" i="91"/>
  <c r="S290" i="91" s="1"/>
  <c r="Q290" i="91"/>
  <c r="O290" i="91"/>
  <c r="M290" i="91"/>
  <c r="K290" i="91"/>
  <c r="I290" i="91"/>
  <c r="G290" i="91"/>
  <c r="E290" i="91"/>
  <c r="C290" i="91"/>
  <c r="R289" i="91"/>
  <c r="S289" i="91" s="1"/>
  <c r="Q289" i="91"/>
  <c r="O289" i="91"/>
  <c r="M289" i="91"/>
  <c r="K289" i="91"/>
  <c r="I289" i="91"/>
  <c r="G289" i="91"/>
  <c r="E289" i="91"/>
  <c r="C289" i="91"/>
  <c r="R288" i="91"/>
  <c r="S288" i="91" s="1"/>
  <c r="Q288" i="91"/>
  <c r="O288" i="91"/>
  <c r="M288" i="91"/>
  <c r="K288" i="91"/>
  <c r="I288" i="91"/>
  <c r="G288" i="91"/>
  <c r="E288" i="91"/>
  <c r="C288" i="91"/>
  <c r="R287" i="91"/>
  <c r="S287" i="91" s="1"/>
  <c r="Q287" i="91"/>
  <c r="O287" i="91"/>
  <c r="M287" i="91"/>
  <c r="K287" i="91"/>
  <c r="I287" i="91"/>
  <c r="G287" i="91"/>
  <c r="E287" i="91"/>
  <c r="C287" i="91"/>
  <c r="R286" i="91"/>
  <c r="S286" i="91" s="1"/>
  <c r="Q286" i="91"/>
  <c r="O286" i="91"/>
  <c r="M286" i="91"/>
  <c r="K286" i="91"/>
  <c r="I286" i="91"/>
  <c r="G286" i="91"/>
  <c r="E286" i="91"/>
  <c r="C286" i="91"/>
  <c r="R285" i="91"/>
  <c r="S285" i="91" s="1"/>
  <c r="Q285" i="91"/>
  <c r="O285" i="91"/>
  <c r="M285" i="91"/>
  <c r="K285" i="91"/>
  <c r="I285" i="91"/>
  <c r="G285" i="91"/>
  <c r="E285" i="91"/>
  <c r="C285" i="91"/>
  <c r="R284" i="91"/>
  <c r="S284" i="91" s="1"/>
  <c r="Q284" i="91"/>
  <c r="O284" i="91"/>
  <c r="M284" i="91"/>
  <c r="K284" i="91"/>
  <c r="I284" i="91"/>
  <c r="G284" i="91"/>
  <c r="E284" i="91"/>
  <c r="C284" i="91"/>
  <c r="R283" i="91"/>
  <c r="S283" i="91" s="1"/>
  <c r="Q283" i="91"/>
  <c r="O283" i="91"/>
  <c r="M283" i="91"/>
  <c r="K283" i="91"/>
  <c r="I283" i="91"/>
  <c r="G283" i="91"/>
  <c r="E283" i="91"/>
  <c r="C283" i="91"/>
  <c r="R282" i="91"/>
  <c r="S282" i="91" s="1"/>
  <c r="Q282" i="91"/>
  <c r="O282" i="91"/>
  <c r="M282" i="91"/>
  <c r="K282" i="91"/>
  <c r="I282" i="91"/>
  <c r="G282" i="91"/>
  <c r="E282" i="91"/>
  <c r="C282" i="91"/>
  <c r="R281" i="91"/>
  <c r="S281" i="91" s="1"/>
  <c r="Q281" i="91"/>
  <c r="O281" i="91"/>
  <c r="M281" i="91"/>
  <c r="K281" i="91"/>
  <c r="I281" i="91"/>
  <c r="G281" i="91"/>
  <c r="E281" i="91"/>
  <c r="C281" i="91"/>
  <c r="R280" i="91"/>
  <c r="S280" i="91" s="1"/>
  <c r="Q280" i="91"/>
  <c r="O280" i="91"/>
  <c r="M280" i="91"/>
  <c r="K280" i="91"/>
  <c r="I280" i="91"/>
  <c r="G280" i="91"/>
  <c r="E280" i="91"/>
  <c r="C280" i="91"/>
  <c r="R279" i="91"/>
  <c r="S279" i="91" s="1"/>
  <c r="Q279" i="91"/>
  <c r="O279" i="91"/>
  <c r="M279" i="91"/>
  <c r="K279" i="91"/>
  <c r="I279" i="91"/>
  <c r="G279" i="91"/>
  <c r="E279" i="91"/>
  <c r="C279" i="91"/>
  <c r="R278" i="91"/>
  <c r="S278" i="91" s="1"/>
  <c r="Q278" i="91"/>
  <c r="O278" i="91"/>
  <c r="M278" i="91"/>
  <c r="K278" i="91"/>
  <c r="I278" i="91"/>
  <c r="G278" i="91"/>
  <c r="E278" i="91"/>
  <c r="C278" i="91"/>
  <c r="R277" i="91"/>
  <c r="S277" i="91" s="1"/>
  <c r="Q277" i="91"/>
  <c r="O277" i="91"/>
  <c r="M277" i="91"/>
  <c r="K277" i="91"/>
  <c r="I277" i="91"/>
  <c r="G277" i="91"/>
  <c r="E277" i="91"/>
  <c r="C277" i="91"/>
  <c r="R276" i="91"/>
  <c r="S276" i="91" s="1"/>
  <c r="Q276" i="91"/>
  <c r="O276" i="91"/>
  <c r="M276" i="91"/>
  <c r="K276" i="91"/>
  <c r="I276" i="91"/>
  <c r="G276" i="91"/>
  <c r="E276" i="91"/>
  <c r="C276" i="91"/>
  <c r="R275" i="91"/>
  <c r="S275" i="91" s="1"/>
  <c r="Q275" i="91"/>
  <c r="O275" i="91"/>
  <c r="M275" i="91"/>
  <c r="K275" i="91"/>
  <c r="I275" i="91"/>
  <c r="G275" i="91"/>
  <c r="E275" i="91"/>
  <c r="C275" i="91"/>
  <c r="R274" i="91"/>
  <c r="S274" i="91" s="1"/>
  <c r="Q274" i="91"/>
  <c r="O274" i="91"/>
  <c r="M274" i="91"/>
  <c r="K274" i="91"/>
  <c r="I274" i="91"/>
  <c r="G274" i="91"/>
  <c r="E274" i="91"/>
  <c r="C274" i="91"/>
  <c r="R273" i="91"/>
  <c r="S273" i="91" s="1"/>
  <c r="Q273" i="91"/>
  <c r="O273" i="91"/>
  <c r="M273" i="91"/>
  <c r="K273" i="91"/>
  <c r="I273" i="91"/>
  <c r="G273" i="91"/>
  <c r="E273" i="91"/>
  <c r="C273" i="91"/>
  <c r="R272" i="91"/>
  <c r="S272" i="91" s="1"/>
  <c r="Q272" i="91"/>
  <c r="O272" i="91"/>
  <c r="M272" i="91"/>
  <c r="K272" i="91"/>
  <c r="I272" i="91"/>
  <c r="G272" i="91"/>
  <c r="E272" i="91"/>
  <c r="C272" i="91"/>
  <c r="R271" i="91"/>
  <c r="S271" i="91" s="1"/>
  <c r="Q271" i="91"/>
  <c r="O271" i="91"/>
  <c r="M271" i="91"/>
  <c r="K271" i="91"/>
  <c r="I271" i="91"/>
  <c r="G271" i="91"/>
  <c r="E271" i="91"/>
  <c r="C271" i="91"/>
  <c r="R270" i="91"/>
  <c r="S270" i="91" s="1"/>
  <c r="Q270" i="91"/>
  <c r="O270" i="91"/>
  <c r="M270" i="91"/>
  <c r="K270" i="91"/>
  <c r="I270" i="91"/>
  <c r="G270" i="91"/>
  <c r="E270" i="91"/>
  <c r="C270" i="91"/>
  <c r="R269" i="91"/>
  <c r="S269" i="91" s="1"/>
  <c r="Q269" i="91"/>
  <c r="O269" i="91"/>
  <c r="M269" i="91"/>
  <c r="K269" i="91"/>
  <c r="I269" i="91"/>
  <c r="G269" i="91"/>
  <c r="E269" i="91"/>
  <c r="C269" i="91"/>
  <c r="R268" i="91"/>
  <c r="S268" i="91" s="1"/>
  <c r="Q268" i="91"/>
  <c r="O268" i="91"/>
  <c r="M268" i="91"/>
  <c r="K268" i="91"/>
  <c r="I268" i="91"/>
  <c r="G268" i="91"/>
  <c r="E268" i="91"/>
  <c r="C268" i="91"/>
  <c r="R267" i="91"/>
  <c r="S267" i="91" s="1"/>
  <c r="Q267" i="91"/>
  <c r="O267" i="91"/>
  <c r="M267" i="91"/>
  <c r="K267" i="91"/>
  <c r="I267" i="91"/>
  <c r="G267" i="91"/>
  <c r="E267" i="91"/>
  <c r="C267" i="91"/>
  <c r="R266" i="91"/>
  <c r="S266" i="91" s="1"/>
  <c r="Q266" i="91"/>
  <c r="O266" i="91"/>
  <c r="M266" i="91"/>
  <c r="K266" i="91"/>
  <c r="I266" i="91"/>
  <c r="G266" i="91"/>
  <c r="E266" i="91"/>
  <c r="C266" i="91"/>
  <c r="R265" i="91"/>
  <c r="S265" i="91" s="1"/>
  <c r="Q265" i="91"/>
  <c r="O265" i="91"/>
  <c r="M265" i="91"/>
  <c r="K265" i="91"/>
  <c r="I265" i="91"/>
  <c r="G265" i="91"/>
  <c r="E265" i="91"/>
  <c r="C265" i="91"/>
  <c r="R264" i="91"/>
  <c r="S264" i="91" s="1"/>
  <c r="Q264" i="91"/>
  <c r="O264" i="91"/>
  <c r="M264" i="91"/>
  <c r="K264" i="91"/>
  <c r="I264" i="91"/>
  <c r="G264" i="91"/>
  <c r="E264" i="91"/>
  <c r="C264" i="91"/>
  <c r="R263" i="91"/>
  <c r="S263" i="91" s="1"/>
  <c r="Q263" i="91"/>
  <c r="O263" i="91"/>
  <c r="M263" i="91"/>
  <c r="K263" i="91"/>
  <c r="I263" i="91"/>
  <c r="G263" i="91"/>
  <c r="E263" i="91"/>
  <c r="C263" i="91"/>
  <c r="R262" i="91"/>
  <c r="S262" i="91" s="1"/>
  <c r="Q262" i="91"/>
  <c r="O262" i="91"/>
  <c r="M262" i="91"/>
  <c r="K262" i="91"/>
  <c r="I262" i="91"/>
  <c r="G262" i="91"/>
  <c r="E262" i="91"/>
  <c r="C262" i="91"/>
  <c r="R261" i="91"/>
  <c r="S261" i="91" s="1"/>
  <c r="Q261" i="91"/>
  <c r="O261" i="91"/>
  <c r="M261" i="91"/>
  <c r="K261" i="91"/>
  <c r="I261" i="91"/>
  <c r="G261" i="91"/>
  <c r="E261" i="91"/>
  <c r="C261" i="91"/>
  <c r="R260" i="91"/>
  <c r="S260" i="91" s="1"/>
  <c r="Q260" i="91"/>
  <c r="O260" i="91"/>
  <c r="M260" i="91"/>
  <c r="K260" i="91"/>
  <c r="I260" i="91"/>
  <c r="G260" i="91"/>
  <c r="E260" i="91"/>
  <c r="C260" i="91"/>
  <c r="R259" i="91"/>
  <c r="S259" i="91" s="1"/>
  <c r="Q259" i="91"/>
  <c r="O259" i="91"/>
  <c r="M259" i="91"/>
  <c r="K259" i="91"/>
  <c r="I259" i="91"/>
  <c r="G259" i="91"/>
  <c r="E259" i="91"/>
  <c r="C259" i="91"/>
  <c r="R258" i="91"/>
  <c r="S258" i="91" s="1"/>
  <c r="Q258" i="91"/>
  <c r="O258" i="91"/>
  <c r="M258" i="91"/>
  <c r="K258" i="91"/>
  <c r="I258" i="91"/>
  <c r="G258" i="91"/>
  <c r="E258" i="91"/>
  <c r="C258" i="91"/>
  <c r="R257" i="91"/>
  <c r="S257" i="91" s="1"/>
  <c r="Q257" i="91"/>
  <c r="O257" i="91"/>
  <c r="M257" i="91"/>
  <c r="K257" i="91"/>
  <c r="I257" i="91"/>
  <c r="G257" i="91"/>
  <c r="E257" i="91"/>
  <c r="C257" i="91"/>
  <c r="R256" i="91"/>
  <c r="S256" i="91" s="1"/>
  <c r="Q256" i="91"/>
  <c r="O256" i="91"/>
  <c r="M256" i="91"/>
  <c r="K256" i="91"/>
  <c r="I256" i="91"/>
  <c r="G256" i="91"/>
  <c r="E256" i="91"/>
  <c r="C256" i="91"/>
  <c r="R255" i="91"/>
  <c r="S255" i="91" s="1"/>
  <c r="Q255" i="91"/>
  <c r="O255" i="91"/>
  <c r="M255" i="91"/>
  <c r="K255" i="91"/>
  <c r="I255" i="91"/>
  <c r="G255" i="91"/>
  <c r="E255" i="91"/>
  <c r="C255" i="91"/>
  <c r="R254" i="91"/>
  <c r="S254" i="91" s="1"/>
  <c r="Q254" i="91"/>
  <c r="O254" i="91"/>
  <c r="M254" i="91"/>
  <c r="K254" i="91"/>
  <c r="I254" i="91"/>
  <c r="G254" i="91"/>
  <c r="E254" i="91"/>
  <c r="C254" i="91"/>
  <c r="R253" i="91"/>
  <c r="S253" i="91" s="1"/>
  <c r="Q253" i="91"/>
  <c r="O253" i="91"/>
  <c r="M253" i="91"/>
  <c r="K253" i="91"/>
  <c r="I253" i="91"/>
  <c r="G253" i="91"/>
  <c r="E253" i="91"/>
  <c r="C253" i="91"/>
  <c r="R252" i="91"/>
  <c r="S252" i="91" s="1"/>
  <c r="Q252" i="91"/>
  <c r="O252" i="91"/>
  <c r="M252" i="91"/>
  <c r="K252" i="91"/>
  <c r="I252" i="91"/>
  <c r="G252" i="91"/>
  <c r="E252" i="91"/>
  <c r="C252" i="91"/>
  <c r="R251" i="91"/>
  <c r="S251" i="91" s="1"/>
  <c r="Q251" i="91"/>
  <c r="O251" i="91"/>
  <c r="M251" i="91"/>
  <c r="K251" i="91"/>
  <c r="I251" i="91"/>
  <c r="G251" i="91"/>
  <c r="E251" i="91"/>
  <c r="C251" i="91"/>
  <c r="R250" i="91"/>
  <c r="S250" i="91" s="1"/>
  <c r="Q250" i="91"/>
  <c r="O250" i="91"/>
  <c r="M250" i="91"/>
  <c r="K250" i="91"/>
  <c r="I250" i="91"/>
  <c r="G250" i="91"/>
  <c r="E250" i="91"/>
  <c r="C250" i="91"/>
  <c r="R249" i="91"/>
  <c r="S249" i="91" s="1"/>
  <c r="Q249" i="91"/>
  <c r="O249" i="91"/>
  <c r="M249" i="91"/>
  <c r="K249" i="91"/>
  <c r="I249" i="91"/>
  <c r="G249" i="91"/>
  <c r="E249" i="91"/>
  <c r="C249" i="91"/>
  <c r="R248" i="91"/>
  <c r="S248" i="91" s="1"/>
  <c r="Q248" i="91"/>
  <c r="O248" i="91"/>
  <c r="M248" i="91"/>
  <c r="K248" i="91"/>
  <c r="I248" i="91"/>
  <c r="G248" i="91"/>
  <c r="E248" i="91"/>
  <c r="C248" i="91"/>
  <c r="R247" i="91"/>
  <c r="S247" i="91" s="1"/>
  <c r="Q247" i="91"/>
  <c r="O247" i="91"/>
  <c r="M247" i="91"/>
  <c r="K247" i="91"/>
  <c r="I247" i="91"/>
  <c r="G247" i="91"/>
  <c r="E247" i="91"/>
  <c r="C247" i="91"/>
  <c r="R246" i="91"/>
  <c r="S246" i="91" s="1"/>
  <c r="Q246" i="91"/>
  <c r="O246" i="91"/>
  <c r="M246" i="91"/>
  <c r="K246" i="91"/>
  <c r="I246" i="91"/>
  <c r="G246" i="91"/>
  <c r="E246" i="91"/>
  <c r="C246" i="91"/>
  <c r="R245" i="91"/>
  <c r="S245" i="91" s="1"/>
  <c r="Q245" i="91"/>
  <c r="O245" i="91"/>
  <c r="M245" i="91"/>
  <c r="K245" i="91"/>
  <c r="I245" i="91"/>
  <c r="G245" i="91"/>
  <c r="E245" i="91"/>
  <c r="C245" i="91"/>
  <c r="R244" i="91"/>
  <c r="S244" i="91" s="1"/>
  <c r="Q244" i="91"/>
  <c r="O244" i="91"/>
  <c r="M244" i="91"/>
  <c r="K244" i="91"/>
  <c r="I244" i="91"/>
  <c r="G244" i="91"/>
  <c r="E244" i="91"/>
  <c r="C244" i="91"/>
  <c r="R243" i="91"/>
  <c r="S243" i="91" s="1"/>
  <c r="Q243" i="91"/>
  <c r="O243" i="91"/>
  <c r="M243" i="91"/>
  <c r="K243" i="91"/>
  <c r="I243" i="91"/>
  <c r="G243" i="91"/>
  <c r="E243" i="91"/>
  <c r="C243" i="91"/>
  <c r="R242" i="91"/>
  <c r="S242" i="91" s="1"/>
  <c r="Q242" i="91"/>
  <c r="O242" i="91"/>
  <c r="M242" i="91"/>
  <c r="K242" i="91"/>
  <c r="I242" i="91"/>
  <c r="G242" i="91"/>
  <c r="E242" i="91"/>
  <c r="C242" i="91"/>
  <c r="R241" i="91"/>
  <c r="S241" i="91" s="1"/>
  <c r="Q241" i="91"/>
  <c r="O241" i="91"/>
  <c r="M241" i="91"/>
  <c r="K241" i="91"/>
  <c r="I241" i="91"/>
  <c r="G241" i="91"/>
  <c r="E241" i="91"/>
  <c r="C241" i="91"/>
  <c r="R240" i="91"/>
  <c r="S240" i="91" s="1"/>
  <c r="Q240" i="91"/>
  <c r="O240" i="91"/>
  <c r="M240" i="91"/>
  <c r="K240" i="91"/>
  <c r="I240" i="91"/>
  <c r="G240" i="91"/>
  <c r="E240" i="91"/>
  <c r="C240" i="91"/>
  <c r="R239" i="91"/>
  <c r="S239" i="91" s="1"/>
  <c r="Q239" i="91"/>
  <c r="O239" i="91"/>
  <c r="M239" i="91"/>
  <c r="K239" i="91"/>
  <c r="I239" i="91"/>
  <c r="G239" i="91"/>
  <c r="E239" i="91"/>
  <c r="C239" i="91"/>
  <c r="R238" i="91"/>
  <c r="S238" i="91" s="1"/>
  <c r="Q238" i="91"/>
  <c r="O238" i="91"/>
  <c r="M238" i="91"/>
  <c r="K238" i="91"/>
  <c r="I238" i="91"/>
  <c r="G238" i="91"/>
  <c r="E238" i="91"/>
  <c r="C238" i="91"/>
  <c r="R237" i="91"/>
  <c r="S237" i="91" s="1"/>
  <c r="Q237" i="91"/>
  <c r="O237" i="91"/>
  <c r="M237" i="91"/>
  <c r="K237" i="91"/>
  <c r="I237" i="91"/>
  <c r="G237" i="91"/>
  <c r="E237" i="91"/>
  <c r="C237" i="91"/>
  <c r="R236" i="91"/>
  <c r="S236" i="91" s="1"/>
  <c r="Q236" i="91"/>
  <c r="O236" i="91"/>
  <c r="M236" i="91"/>
  <c r="K236" i="91"/>
  <c r="I236" i="91"/>
  <c r="G236" i="91"/>
  <c r="E236" i="91"/>
  <c r="C236" i="91"/>
  <c r="R235" i="91"/>
  <c r="S235" i="91" s="1"/>
  <c r="Q235" i="91"/>
  <c r="O235" i="91"/>
  <c r="M235" i="91"/>
  <c r="K235" i="91"/>
  <c r="I235" i="91"/>
  <c r="G235" i="91"/>
  <c r="E235" i="91"/>
  <c r="C235" i="91"/>
  <c r="R234" i="91"/>
  <c r="S234" i="91" s="1"/>
  <c r="Q234" i="91"/>
  <c r="O234" i="91"/>
  <c r="M234" i="91"/>
  <c r="K234" i="91"/>
  <c r="I234" i="91"/>
  <c r="G234" i="91"/>
  <c r="E234" i="91"/>
  <c r="C234" i="91"/>
  <c r="R233" i="91"/>
  <c r="S233" i="91" s="1"/>
  <c r="Q233" i="91"/>
  <c r="O233" i="91"/>
  <c r="M233" i="91"/>
  <c r="K233" i="91"/>
  <c r="I233" i="91"/>
  <c r="G233" i="91"/>
  <c r="E233" i="91"/>
  <c r="C233" i="91"/>
  <c r="R232" i="91"/>
  <c r="S232" i="91" s="1"/>
  <c r="Q232" i="91"/>
  <c r="O232" i="91"/>
  <c r="M232" i="91"/>
  <c r="K232" i="91"/>
  <c r="I232" i="91"/>
  <c r="G232" i="91"/>
  <c r="E232" i="91"/>
  <c r="C232" i="91"/>
  <c r="R231" i="91"/>
  <c r="S231" i="91" s="1"/>
  <c r="Q231" i="91"/>
  <c r="O231" i="91"/>
  <c r="M231" i="91"/>
  <c r="K231" i="91"/>
  <c r="I231" i="91"/>
  <c r="G231" i="91"/>
  <c r="E231" i="91"/>
  <c r="C231" i="91"/>
  <c r="R230" i="91"/>
  <c r="S230" i="91" s="1"/>
  <c r="Q230" i="91"/>
  <c r="O230" i="91"/>
  <c r="M230" i="91"/>
  <c r="K230" i="91"/>
  <c r="I230" i="91"/>
  <c r="G230" i="91"/>
  <c r="E230" i="91"/>
  <c r="C230" i="91"/>
  <c r="R229" i="91"/>
  <c r="S229" i="91" s="1"/>
  <c r="Q229" i="91"/>
  <c r="O229" i="91"/>
  <c r="M229" i="91"/>
  <c r="K229" i="91"/>
  <c r="I229" i="91"/>
  <c r="G229" i="91"/>
  <c r="E229" i="91"/>
  <c r="C229" i="91"/>
  <c r="R228" i="91"/>
  <c r="S228" i="91" s="1"/>
  <c r="Q228" i="91"/>
  <c r="O228" i="91"/>
  <c r="M228" i="91"/>
  <c r="K228" i="91"/>
  <c r="I228" i="91"/>
  <c r="G228" i="91"/>
  <c r="E228" i="91"/>
  <c r="C228" i="91"/>
  <c r="R227" i="91"/>
  <c r="S227" i="91" s="1"/>
  <c r="Q227" i="91"/>
  <c r="O227" i="91"/>
  <c r="M227" i="91"/>
  <c r="K227" i="91"/>
  <c r="I227" i="91"/>
  <c r="G227" i="91"/>
  <c r="E227" i="91"/>
  <c r="C227" i="91"/>
  <c r="R226" i="91"/>
  <c r="S226" i="91" s="1"/>
  <c r="Q226" i="91"/>
  <c r="O226" i="91"/>
  <c r="M226" i="91"/>
  <c r="K226" i="91"/>
  <c r="I226" i="91"/>
  <c r="G226" i="91"/>
  <c r="E226" i="91"/>
  <c r="C226" i="91"/>
  <c r="R225" i="91"/>
  <c r="S225" i="91" s="1"/>
  <c r="Q225" i="91"/>
  <c r="O225" i="91"/>
  <c r="M225" i="91"/>
  <c r="K225" i="91"/>
  <c r="I225" i="91"/>
  <c r="G225" i="91"/>
  <c r="E225" i="91"/>
  <c r="C225" i="91"/>
  <c r="R224" i="91"/>
  <c r="S224" i="91" s="1"/>
  <c r="Q224" i="91"/>
  <c r="O224" i="91"/>
  <c r="M224" i="91"/>
  <c r="K224" i="91"/>
  <c r="I224" i="91"/>
  <c r="G224" i="91"/>
  <c r="E224" i="91"/>
  <c r="C224" i="91"/>
  <c r="R223" i="91"/>
  <c r="S223" i="91" s="1"/>
  <c r="Q223" i="91"/>
  <c r="O223" i="91"/>
  <c r="M223" i="91"/>
  <c r="K223" i="91"/>
  <c r="I223" i="91"/>
  <c r="G223" i="91"/>
  <c r="E223" i="91"/>
  <c r="C223" i="91"/>
  <c r="R222" i="91"/>
  <c r="S222" i="91" s="1"/>
  <c r="Q222" i="91"/>
  <c r="O222" i="91"/>
  <c r="M222" i="91"/>
  <c r="K222" i="91"/>
  <c r="I222" i="91"/>
  <c r="G222" i="91"/>
  <c r="E222" i="91"/>
  <c r="C222" i="91"/>
  <c r="R221" i="91"/>
  <c r="S221" i="91" s="1"/>
  <c r="Q221" i="91"/>
  <c r="O221" i="91"/>
  <c r="M221" i="91"/>
  <c r="K221" i="91"/>
  <c r="I221" i="91"/>
  <c r="G221" i="91"/>
  <c r="E221" i="91"/>
  <c r="C221" i="91"/>
  <c r="R220" i="91"/>
  <c r="S220" i="91" s="1"/>
  <c r="Q220" i="91"/>
  <c r="O220" i="91"/>
  <c r="M220" i="91"/>
  <c r="K220" i="91"/>
  <c r="I220" i="91"/>
  <c r="G220" i="91"/>
  <c r="E220" i="91"/>
  <c r="C220" i="91"/>
  <c r="R219" i="91"/>
  <c r="S219" i="91" s="1"/>
  <c r="Q219" i="91"/>
  <c r="O219" i="91"/>
  <c r="M219" i="91"/>
  <c r="K219" i="91"/>
  <c r="I219" i="91"/>
  <c r="G219" i="91"/>
  <c r="E219" i="91"/>
  <c r="C219" i="91"/>
  <c r="R218" i="91"/>
  <c r="S218" i="91" s="1"/>
  <c r="Q218" i="91"/>
  <c r="O218" i="91"/>
  <c r="M218" i="91"/>
  <c r="K218" i="91"/>
  <c r="I218" i="91"/>
  <c r="G218" i="91"/>
  <c r="E218" i="91"/>
  <c r="C218" i="91"/>
  <c r="R217" i="91"/>
  <c r="S217" i="91" s="1"/>
  <c r="Q217" i="91"/>
  <c r="O217" i="91"/>
  <c r="M217" i="91"/>
  <c r="K217" i="91"/>
  <c r="I217" i="91"/>
  <c r="G217" i="91"/>
  <c r="E217" i="91"/>
  <c r="C217" i="91"/>
  <c r="R216" i="91"/>
  <c r="S216" i="91" s="1"/>
  <c r="Q216" i="91"/>
  <c r="O216" i="91"/>
  <c r="M216" i="91"/>
  <c r="K216" i="91"/>
  <c r="I216" i="91"/>
  <c r="G216" i="91"/>
  <c r="E216" i="91"/>
  <c r="C216" i="91"/>
  <c r="R215" i="91"/>
  <c r="S215" i="91" s="1"/>
  <c r="Q215" i="91"/>
  <c r="O215" i="91"/>
  <c r="M215" i="91"/>
  <c r="K215" i="91"/>
  <c r="I215" i="91"/>
  <c r="G215" i="91"/>
  <c r="E215" i="91"/>
  <c r="C215" i="91"/>
  <c r="R214" i="91"/>
  <c r="S214" i="91" s="1"/>
  <c r="Q214" i="91"/>
  <c r="O214" i="91"/>
  <c r="M214" i="91"/>
  <c r="K214" i="91"/>
  <c r="I214" i="91"/>
  <c r="G214" i="91"/>
  <c r="E214" i="91"/>
  <c r="C214" i="91"/>
  <c r="R213" i="91"/>
  <c r="S213" i="91" s="1"/>
  <c r="Q213" i="91"/>
  <c r="O213" i="91"/>
  <c r="M213" i="91"/>
  <c r="K213" i="91"/>
  <c r="I213" i="91"/>
  <c r="G213" i="91"/>
  <c r="E213" i="91"/>
  <c r="C213" i="91"/>
  <c r="R212" i="91"/>
  <c r="S212" i="91" s="1"/>
  <c r="Q212" i="91"/>
  <c r="O212" i="91"/>
  <c r="M212" i="91"/>
  <c r="K212" i="91"/>
  <c r="I212" i="91"/>
  <c r="G212" i="91"/>
  <c r="E212" i="91"/>
  <c r="C212" i="91"/>
  <c r="R211" i="91"/>
  <c r="S211" i="91" s="1"/>
  <c r="Q211" i="91"/>
  <c r="O211" i="91"/>
  <c r="M211" i="91"/>
  <c r="K211" i="91"/>
  <c r="I211" i="91"/>
  <c r="G211" i="91"/>
  <c r="E211" i="91"/>
  <c r="C211" i="91"/>
  <c r="R210" i="91"/>
  <c r="S210" i="91" s="1"/>
  <c r="Q210" i="91"/>
  <c r="O210" i="91"/>
  <c r="M210" i="91"/>
  <c r="K210" i="91"/>
  <c r="I210" i="91"/>
  <c r="G210" i="91"/>
  <c r="E210" i="91"/>
  <c r="C210" i="91"/>
  <c r="R209" i="91"/>
  <c r="S209" i="91" s="1"/>
  <c r="Q209" i="91"/>
  <c r="O209" i="91"/>
  <c r="M209" i="91"/>
  <c r="K209" i="91"/>
  <c r="I209" i="91"/>
  <c r="G209" i="91"/>
  <c r="E209" i="91"/>
  <c r="C209" i="91"/>
  <c r="R208" i="91"/>
  <c r="S208" i="91" s="1"/>
  <c r="Q208" i="91"/>
  <c r="O208" i="91"/>
  <c r="M208" i="91"/>
  <c r="K208" i="91"/>
  <c r="I208" i="91"/>
  <c r="G208" i="91"/>
  <c r="E208" i="91"/>
  <c r="C208" i="91"/>
  <c r="R207" i="91"/>
  <c r="S207" i="91" s="1"/>
  <c r="Q207" i="91"/>
  <c r="O207" i="91"/>
  <c r="M207" i="91"/>
  <c r="K207" i="91"/>
  <c r="I207" i="91"/>
  <c r="G207" i="91"/>
  <c r="E207" i="91"/>
  <c r="C207" i="91"/>
  <c r="R206" i="91"/>
  <c r="S206" i="91" s="1"/>
  <c r="Q206" i="91"/>
  <c r="O206" i="91"/>
  <c r="M206" i="91"/>
  <c r="K206" i="91"/>
  <c r="I206" i="91"/>
  <c r="G206" i="91"/>
  <c r="E206" i="91"/>
  <c r="C206" i="91"/>
  <c r="R205" i="91"/>
  <c r="S205" i="91" s="1"/>
  <c r="Q205" i="91"/>
  <c r="O205" i="91"/>
  <c r="M205" i="91"/>
  <c r="K205" i="91"/>
  <c r="I205" i="91"/>
  <c r="G205" i="91"/>
  <c r="E205" i="91"/>
  <c r="C205" i="91"/>
  <c r="R204" i="91"/>
  <c r="S204" i="91" s="1"/>
  <c r="Q204" i="91"/>
  <c r="O204" i="91"/>
  <c r="M204" i="91"/>
  <c r="K204" i="91"/>
  <c r="I204" i="91"/>
  <c r="G204" i="91"/>
  <c r="E204" i="91"/>
  <c r="C204" i="91"/>
  <c r="R203" i="91"/>
  <c r="S203" i="91" s="1"/>
  <c r="Q203" i="91"/>
  <c r="O203" i="91"/>
  <c r="M203" i="91"/>
  <c r="K203" i="91"/>
  <c r="I203" i="91"/>
  <c r="G203" i="91"/>
  <c r="E203" i="91"/>
  <c r="C203" i="91"/>
  <c r="R202" i="91"/>
  <c r="S202" i="91" s="1"/>
  <c r="Q202" i="91"/>
  <c r="O202" i="91"/>
  <c r="M202" i="91"/>
  <c r="K202" i="91"/>
  <c r="I202" i="91"/>
  <c r="G202" i="91"/>
  <c r="E202" i="91"/>
  <c r="C202" i="91"/>
  <c r="R201" i="91"/>
  <c r="S201" i="91" s="1"/>
  <c r="Q201" i="91"/>
  <c r="O201" i="91"/>
  <c r="M201" i="91"/>
  <c r="K201" i="91"/>
  <c r="I201" i="91"/>
  <c r="G201" i="91"/>
  <c r="E201" i="91"/>
  <c r="C201" i="91"/>
  <c r="R200" i="91"/>
  <c r="S200" i="91" s="1"/>
  <c r="Q200" i="91"/>
  <c r="O200" i="91"/>
  <c r="M200" i="91"/>
  <c r="K200" i="91"/>
  <c r="I200" i="91"/>
  <c r="G200" i="91"/>
  <c r="E200" i="91"/>
  <c r="C200" i="91"/>
  <c r="R199" i="91"/>
  <c r="S199" i="91" s="1"/>
  <c r="Q199" i="91"/>
  <c r="O199" i="91"/>
  <c r="M199" i="91"/>
  <c r="K199" i="91"/>
  <c r="I199" i="91"/>
  <c r="G199" i="91"/>
  <c r="E199" i="91"/>
  <c r="C199" i="91"/>
  <c r="R198" i="91"/>
  <c r="S198" i="91" s="1"/>
  <c r="Q198" i="91"/>
  <c r="O198" i="91"/>
  <c r="M198" i="91"/>
  <c r="K198" i="91"/>
  <c r="I198" i="91"/>
  <c r="G198" i="91"/>
  <c r="E198" i="91"/>
  <c r="C198" i="91"/>
  <c r="R197" i="91"/>
  <c r="S197" i="91" s="1"/>
  <c r="Q197" i="91"/>
  <c r="O197" i="91"/>
  <c r="M197" i="91"/>
  <c r="K197" i="91"/>
  <c r="I197" i="91"/>
  <c r="G197" i="91"/>
  <c r="E197" i="91"/>
  <c r="C197" i="91"/>
  <c r="R196" i="91"/>
  <c r="S196" i="91" s="1"/>
  <c r="Q196" i="91"/>
  <c r="O196" i="91"/>
  <c r="M196" i="91"/>
  <c r="K196" i="91"/>
  <c r="I196" i="91"/>
  <c r="G196" i="91"/>
  <c r="E196" i="91"/>
  <c r="C196" i="91"/>
  <c r="R195" i="91"/>
  <c r="S195" i="91" s="1"/>
  <c r="Q195" i="91"/>
  <c r="O195" i="91"/>
  <c r="M195" i="91"/>
  <c r="K195" i="91"/>
  <c r="I195" i="91"/>
  <c r="G195" i="91"/>
  <c r="E195" i="91"/>
  <c r="C195" i="91"/>
  <c r="R194" i="91"/>
  <c r="S194" i="91" s="1"/>
  <c r="Q194" i="91"/>
  <c r="O194" i="91"/>
  <c r="M194" i="91"/>
  <c r="K194" i="91"/>
  <c r="I194" i="91"/>
  <c r="G194" i="91"/>
  <c r="E194" i="91"/>
  <c r="C194" i="91"/>
  <c r="R193" i="91"/>
  <c r="S193" i="91" s="1"/>
  <c r="Q193" i="91"/>
  <c r="O193" i="91"/>
  <c r="M193" i="91"/>
  <c r="K193" i="91"/>
  <c r="I193" i="91"/>
  <c r="G193" i="91"/>
  <c r="E193" i="91"/>
  <c r="C193" i="91"/>
  <c r="R192" i="91"/>
  <c r="S192" i="91" s="1"/>
  <c r="Q192" i="91"/>
  <c r="O192" i="91"/>
  <c r="M192" i="91"/>
  <c r="K192" i="91"/>
  <c r="I192" i="91"/>
  <c r="G192" i="91"/>
  <c r="E192" i="91"/>
  <c r="C192" i="91"/>
  <c r="R191" i="91"/>
  <c r="S191" i="91" s="1"/>
  <c r="Q191" i="91"/>
  <c r="O191" i="91"/>
  <c r="M191" i="91"/>
  <c r="K191" i="91"/>
  <c r="I191" i="91"/>
  <c r="G191" i="91"/>
  <c r="E191" i="91"/>
  <c r="C191" i="91"/>
  <c r="R190" i="91"/>
  <c r="S190" i="91" s="1"/>
  <c r="Q190" i="91"/>
  <c r="O190" i="91"/>
  <c r="M190" i="91"/>
  <c r="K190" i="91"/>
  <c r="I190" i="91"/>
  <c r="G190" i="91"/>
  <c r="E190" i="91"/>
  <c r="C190" i="91"/>
  <c r="R189" i="91"/>
  <c r="S189" i="91" s="1"/>
  <c r="Q189" i="91"/>
  <c r="O189" i="91"/>
  <c r="M189" i="91"/>
  <c r="K189" i="91"/>
  <c r="I189" i="91"/>
  <c r="G189" i="91"/>
  <c r="E189" i="91"/>
  <c r="C189" i="91"/>
  <c r="R188" i="91"/>
  <c r="S188" i="91" s="1"/>
  <c r="Q188" i="91"/>
  <c r="O188" i="91"/>
  <c r="M188" i="91"/>
  <c r="K188" i="91"/>
  <c r="I188" i="91"/>
  <c r="G188" i="91"/>
  <c r="E188" i="91"/>
  <c r="C188" i="91"/>
  <c r="R187" i="91"/>
  <c r="S187" i="91" s="1"/>
  <c r="Q187" i="91"/>
  <c r="O187" i="91"/>
  <c r="M187" i="91"/>
  <c r="K187" i="91"/>
  <c r="I187" i="91"/>
  <c r="G187" i="91"/>
  <c r="E187" i="91"/>
  <c r="C187" i="91"/>
  <c r="R186" i="91"/>
  <c r="S186" i="91" s="1"/>
  <c r="Q186" i="91"/>
  <c r="O186" i="91"/>
  <c r="M186" i="91"/>
  <c r="K186" i="91"/>
  <c r="I186" i="91"/>
  <c r="G186" i="91"/>
  <c r="E186" i="91"/>
  <c r="C186" i="91"/>
  <c r="R185" i="91"/>
  <c r="S185" i="91" s="1"/>
  <c r="Q185" i="91"/>
  <c r="O185" i="91"/>
  <c r="M185" i="91"/>
  <c r="K185" i="91"/>
  <c r="I185" i="91"/>
  <c r="G185" i="91"/>
  <c r="E185" i="91"/>
  <c r="C185" i="91"/>
  <c r="R184" i="91"/>
  <c r="S184" i="91" s="1"/>
  <c r="Q184" i="91"/>
  <c r="O184" i="91"/>
  <c r="M184" i="91"/>
  <c r="K184" i="91"/>
  <c r="I184" i="91"/>
  <c r="G184" i="91"/>
  <c r="E184" i="91"/>
  <c r="C184" i="91"/>
  <c r="R183" i="91"/>
  <c r="S183" i="91" s="1"/>
  <c r="Q183" i="91"/>
  <c r="O183" i="91"/>
  <c r="M183" i="91"/>
  <c r="K183" i="91"/>
  <c r="I183" i="91"/>
  <c r="G183" i="91"/>
  <c r="E183" i="91"/>
  <c r="C183" i="91"/>
  <c r="R182" i="91"/>
  <c r="S182" i="91" s="1"/>
  <c r="Q182" i="91"/>
  <c r="O182" i="91"/>
  <c r="M182" i="91"/>
  <c r="K182" i="91"/>
  <c r="I182" i="91"/>
  <c r="G182" i="91"/>
  <c r="E182" i="91"/>
  <c r="C182" i="91"/>
  <c r="R181" i="91"/>
  <c r="S181" i="91" s="1"/>
  <c r="Q181" i="91"/>
  <c r="O181" i="91"/>
  <c r="M181" i="91"/>
  <c r="K181" i="91"/>
  <c r="I181" i="91"/>
  <c r="G181" i="91"/>
  <c r="E181" i="91"/>
  <c r="C181" i="91"/>
  <c r="R180" i="91"/>
  <c r="S180" i="91" s="1"/>
  <c r="Q180" i="91"/>
  <c r="O180" i="91"/>
  <c r="M180" i="91"/>
  <c r="K180" i="91"/>
  <c r="I180" i="91"/>
  <c r="G180" i="91"/>
  <c r="E180" i="91"/>
  <c r="C180" i="91"/>
  <c r="R179" i="91"/>
  <c r="S179" i="91" s="1"/>
  <c r="Q179" i="91"/>
  <c r="O179" i="91"/>
  <c r="M179" i="91"/>
  <c r="K179" i="91"/>
  <c r="I179" i="91"/>
  <c r="G179" i="91"/>
  <c r="E179" i="91"/>
  <c r="C179" i="91"/>
  <c r="R178" i="91"/>
  <c r="S178" i="91" s="1"/>
  <c r="Q178" i="91"/>
  <c r="O178" i="91"/>
  <c r="M178" i="91"/>
  <c r="K178" i="91"/>
  <c r="I178" i="91"/>
  <c r="G178" i="91"/>
  <c r="E178" i="91"/>
  <c r="C178" i="91"/>
  <c r="R177" i="91"/>
  <c r="S177" i="91" s="1"/>
  <c r="Q177" i="91"/>
  <c r="O177" i="91"/>
  <c r="M177" i="91"/>
  <c r="K177" i="91"/>
  <c r="I177" i="91"/>
  <c r="G177" i="91"/>
  <c r="E177" i="91"/>
  <c r="C177" i="91"/>
  <c r="R176" i="91"/>
  <c r="S176" i="91" s="1"/>
  <c r="Q176" i="91"/>
  <c r="O176" i="91"/>
  <c r="M176" i="91"/>
  <c r="K176" i="91"/>
  <c r="I176" i="91"/>
  <c r="G176" i="91"/>
  <c r="E176" i="91"/>
  <c r="C176" i="91"/>
  <c r="R175" i="91"/>
  <c r="S175" i="91" s="1"/>
  <c r="Q175" i="91"/>
  <c r="O175" i="91"/>
  <c r="M175" i="91"/>
  <c r="K175" i="91"/>
  <c r="I175" i="91"/>
  <c r="G175" i="91"/>
  <c r="E175" i="91"/>
  <c r="C175" i="91"/>
  <c r="R174" i="91"/>
  <c r="S174" i="91" s="1"/>
  <c r="Q174" i="91"/>
  <c r="O174" i="91"/>
  <c r="M174" i="91"/>
  <c r="K174" i="91"/>
  <c r="I174" i="91"/>
  <c r="G174" i="91"/>
  <c r="E174" i="91"/>
  <c r="C174" i="91"/>
  <c r="R173" i="91"/>
  <c r="S173" i="91" s="1"/>
  <c r="Q173" i="91"/>
  <c r="O173" i="91"/>
  <c r="M173" i="91"/>
  <c r="K173" i="91"/>
  <c r="I173" i="91"/>
  <c r="G173" i="91"/>
  <c r="E173" i="91"/>
  <c r="C173" i="91"/>
  <c r="R172" i="91"/>
  <c r="S172" i="91" s="1"/>
  <c r="Q172" i="91"/>
  <c r="O172" i="91"/>
  <c r="M172" i="91"/>
  <c r="K172" i="91"/>
  <c r="I172" i="91"/>
  <c r="G172" i="91"/>
  <c r="E172" i="91"/>
  <c r="C172" i="91"/>
  <c r="R171" i="91"/>
  <c r="S171" i="91" s="1"/>
  <c r="Q171" i="91"/>
  <c r="O171" i="91"/>
  <c r="M171" i="91"/>
  <c r="K171" i="91"/>
  <c r="I171" i="91"/>
  <c r="G171" i="91"/>
  <c r="E171" i="91"/>
  <c r="C171" i="91"/>
  <c r="R170" i="91"/>
  <c r="S170" i="91" s="1"/>
  <c r="Q170" i="91"/>
  <c r="O170" i="91"/>
  <c r="M170" i="91"/>
  <c r="K170" i="91"/>
  <c r="I170" i="91"/>
  <c r="G170" i="91"/>
  <c r="E170" i="91"/>
  <c r="C170" i="91"/>
  <c r="R169" i="91"/>
  <c r="S169" i="91" s="1"/>
  <c r="Q169" i="91"/>
  <c r="O169" i="91"/>
  <c r="M169" i="91"/>
  <c r="K169" i="91"/>
  <c r="I169" i="91"/>
  <c r="G169" i="91"/>
  <c r="E169" i="91"/>
  <c r="C169" i="91"/>
  <c r="R168" i="91"/>
  <c r="S168" i="91" s="1"/>
  <c r="Q168" i="91"/>
  <c r="O168" i="91"/>
  <c r="M168" i="91"/>
  <c r="K168" i="91"/>
  <c r="I168" i="91"/>
  <c r="G168" i="91"/>
  <c r="E168" i="91"/>
  <c r="C168" i="91"/>
  <c r="R167" i="91"/>
  <c r="S167" i="91" s="1"/>
  <c r="Q167" i="91"/>
  <c r="O167" i="91"/>
  <c r="M167" i="91"/>
  <c r="K167" i="91"/>
  <c r="I167" i="91"/>
  <c r="G167" i="91"/>
  <c r="E167" i="91"/>
  <c r="C167" i="91"/>
  <c r="R166" i="91"/>
  <c r="S166" i="91" s="1"/>
  <c r="Q166" i="91"/>
  <c r="O166" i="91"/>
  <c r="M166" i="91"/>
  <c r="K166" i="91"/>
  <c r="I166" i="91"/>
  <c r="G166" i="91"/>
  <c r="E166" i="91"/>
  <c r="C166" i="91"/>
  <c r="R165" i="91"/>
  <c r="S165" i="91" s="1"/>
  <c r="Q165" i="91"/>
  <c r="O165" i="91"/>
  <c r="M165" i="91"/>
  <c r="K165" i="91"/>
  <c r="I165" i="91"/>
  <c r="G165" i="91"/>
  <c r="E165" i="91"/>
  <c r="C165" i="91"/>
  <c r="R164" i="91"/>
  <c r="S164" i="91" s="1"/>
  <c r="Q164" i="91"/>
  <c r="O164" i="91"/>
  <c r="M164" i="91"/>
  <c r="K164" i="91"/>
  <c r="I164" i="91"/>
  <c r="G164" i="91"/>
  <c r="E164" i="91"/>
  <c r="C164" i="91"/>
  <c r="R163" i="91"/>
  <c r="S163" i="91" s="1"/>
  <c r="Q163" i="91"/>
  <c r="O163" i="91"/>
  <c r="M163" i="91"/>
  <c r="K163" i="91"/>
  <c r="I163" i="91"/>
  <c r="G163" i="91"/>
  <c r="E163" i="91"/>
  <c r="C163" i="91"/>
  <c r="R162" i="91"/>
  <c r="S162" i="91" s="1"/>
  <c r="Q162" i="91"/>
  <c r="O162" i="91"/>
  <c r="M162" i="91"/>
  <c r="K162" i="91"/>
  <c r="I162" i="91"/>
  <c r="G162" i="91"/>
  <c r="E162" i="91"/>
  <c r="C162" i="91"/>
  <c r="R161" i="91"/>
  <c r="S161" i="91" s="1"/>
  <c r="Q161" i="91"/>
  <c r="O161" i="91"/>
  <c r="M161" i="91"/>
  <c r="K161" i="91"/>
  <c r="I161" i="91"/>
  <c r="G161" i="91"/>
  <c r="E161" i="91"/>
  <c r="C161" i="91"/>
  <c r="R160" i="91"/>
  <c r="S160" i="91" s="1"/>
  <c r="Q160" i="91"/>
  <c r="O160" i="91"/>
  <c r="M160" i="91"/>
  <c r="K160" i="91"/>
  <c r="I160" i="91"/>
  <c r="G160" i="91"/>
  <c r="E160" i="91"/>
  <c r="C160" i="91"/>
  <c r="R159" i="91"/>
  <c r="S159" i="91" s="1"/>
  <c r="Q159" i="91"/>
  <c r="O159" i="91"/>
  <c r="M159" i="91"/>
  <c r="K159" i="91"/>
  <c r="I159" i="91"/>
  <c r="G159" i="91"/>
  <c r="E159" i="91"/>
  <c r="C159" i="91"/>
  <c r="R158" i="91"/>
  <c r="S158" i="91" s="1"/>
  <c r="Q158" i="91"/>
  <c r="O158" i="91"/>
  <c r="M158" i="91"/>
  <c r="K158" i="91"/>
  <c r="I158" i="91"/>
  <c r="G158" i="91"/>
  <c r="E158" i="91"/>
  <c r="C158" i="91"/>
  <c r="R157" i="91"/>
  <c r="S157" i="91" s="1"/>
  <c r="Q157" i="91"/>
  <c r="O157" i="91"/>
  <c r="M157" i="91"/>
  <c r="K157" i="91"/>
  <c r="I157" i="91"/>
  <c r="G157" i="91"/>
  <c r="E157" i="91"/>
  <c r="C157" i="91"/>
  <c r="R156" i="91"/>
  <c r="S156" i="91" s="1"/>
  <c r="Q156" i="91"/>
  <c r="O156" i="91"/>
  <c r="M156" i="91"/>
  <c r="K156" i="91"/>
  <c r="I156" i="91"/>
  <c r="G156" i="91"/>
  <c r="E156" i="91"/>
  <c r="C156" i="91"/>
  <c r="R155" i="91"/>
  <c r="S155" i="91" s="1"/>
  <c r="Q155" i="91"/>
  <c r="O155" i="91"/>
  <c r="M155" i="91"/>
  <c r="K155" i="91"/>
  <c r="I155" i="91"/>
  <c r="G155" i="91"/>
  <c r="E155" i="91"/>
  <c r="C155" i="91"/>
  <c r="R154" i="91"/>
  <c r="S154" i="91" s="1"/>
  <c r="Q154" i="91"/>
  <c r="O154" i="91"/>
  <c r="M154" i="91"/>
  <c r="K154" i="91"/>
  <c r="I154" i="91"/>
  <c r="G154" i="91"/>
  <c r="E154" i="91"/>
  <c r="C154" i="91"/>
  <c r="R153" i="91"/>
  <c r="S153" i="91" s="1"/>
  <c r="Q153" i="91"/>
  <c r="O153" i="91"/>
  <c r="M153" i="91"/>
  <c r="K153" i="91"/>
  <c r="I153" i="91"/>
  <c r="G153" i="91"/>
  <c r="E153" i="91"/>
  <c r="C153" i="91"/>
  <c r="R152" i="91"/>
  <c r="S152" i="91" s="1"/>
  <c r="Q152" i="91"/>
  <c r="O152" i="91"/>
  <c r="M152" i="91"/>
  <c r="K152" i="91"/>
  <c r="I152" i="91"/>
  <c r="G152" i="91"/>
  <c r="E152" i="91"/>
  <c r="C152" i="91"/>
  <c r="R151" i="91"/>
  <c r="S151" i="91" s="1"/>
  <c r="Q151" i="91"/>
  <c r="O151" i="91"/>
  <c r="M151" i="91"/>
  <c r="K151" i="91"/>
  <c r="I151" i="91"/>
  <c r="G151" i="91"/>
  <c r="E151" i="91"/>
  <c r="C151" i="91"/>
  <c r="R150" i="91"/>
  <c r="S150" i="91" s="1"/>
  <c r="Q150" i="91"/>
  <c r="O150" i="91"/>
  <c r="M150" i="91"/>
  <c r="K150" i="91"/>
  <c r="I150" i="91"/>
  <c r="G150" i="91"/>
  <c r="E150" i="91"/>
  <c r="C150" i="91"/>
  <c r="R149" i="91"/>
  <c r="S149" i="91" s="1"/>
  <c r="Q149" i="91"/>
  <c r="O149" i="91"/>
  <c r="M149" i="91"/>
  <c r="K149" i="91"/>
  <c r="I149" i="91"/>
  <c r="G149" i="91"/>
  <c r="E149" i="91"/>
  <c r="C149" i="91"/>
  <c r="R148" i="91"/>
  <c r="S148" i="91" s="1"/>
  <c r="Q148" i="91"/>
  <c r="O148" i="91"/>
  <c r="M148" i="91"/>
  <c r="K148" i="91"/>
  <c r="I148" i="91"/>
  <c r="G148" i="91"/>
  <c r="E148" i="91"/>
  <c r="C148" i="91"/>
  <c r="R147" i="91"/>
  <c r="S147" i="91" s="1"/>
  <c r="Q147" i="91"/>
  <c r="O147" i="91"/>
  <c r="M147" i="91"/>
  <c r="K147" i="91"/>
  <c r="I147" i="91"/>
  <c r="G147" i="91"/>
  <c r="E147" i="91"/>
  <c r="C147" i="91"/>
  <c r="R146" i="91"/>
  <c r="S146" i="91" s="1"/>
  <c r="Q146" i="91"/>
  <c r="O146" i="91"/>
  <c r="M146" i="91"/>
  <c r="K146" i="91"/>
  <c r="I146" i="91"/>
  <c r="G146" i="91"/>
  <c r="E146" i="91"/>
  <c r="C146" i="91"/>
  <c r="R145" i="91"/>
  <c r="S145" i="91" s="1"/>
  <c r="Q145" i="91"/>
  <c r="O145" i="91"/>
  <c r="M145" i="91"/>
  <c r="K145" i="91"/>
  <c r="I145" i="91"/>
  <c r="G145" i="91"/>
  <c r="E145" i="91"/>
  <c r="C145" i="91"/>
  <c r="R144" i="91"/>
  <c r="S144" i="91" s="1"/>
  <c r="Q144" i="91"/>
  <c r="O144" i="91"/>
  <c r="M144" i="91"/>
  <c r="K144" i="91"/>
  <c r="I144" i="91"/>
  <c r="G144" i="91"/>
  <c r="E144" i="91"/>
  <c r="C144" i="91"/>
  <c r="R143" i="91"/>
  <c r="S143" i="91" s="1"/>
  <c r="Q143" i="91"/>
  <c r="O143" i="91"/>
  <c r="M143" i="91"/>
  <c r="K143" i="91"/>
  <c r="I143" i="91"/>
  <c r="G143" i="91"/>
  <c r="E143" i="91"/>
  <c r="C143" i="91"/>
  <c r="R142" i="91"/>
  <c r="S142" i="91" s="1"/>
  <c r="Q142" i="91"/>
  <c r="O142" i="91"/>
  <c r="M142" i="91"/>
  <c r="K142" i="91"/>
  <c r="I142" i="91"/>
  <c r="G142" i="91"/>
  <c r="E142" i="91"/>
  <c r="C142" i="91"/>
  <c r="R141" i="91"/>
  <c r="S141" i="91" s="1"/>
  <c r="Q141" i="91"/>
  <c r="O141" i="91"/>
  <c r="M141" i="91"/>
  <c r="K141" i="91"/>
  <c r="I141" i="91"/>
  <c r="G141" i="91"/>
  <c r="E141" i="91"/>
  <c r="C141" i="91"/>
  <c r="R140" i="91"/>
  <c r="S140" i="91" s="1"/>
  <c r="Q140" i="91"/>
  <c r="O140" i="91"/>
  <c r="M140" i="91"/>
  <c r="K140" i="91"/>
  <c r="I140" i="91"/>
  <c r="G140" i="91"/>
  <c r="E140" i="91"/>
  <c r="C140" i="91"/>
  <c r="R139" i="91"/>
  <c r="S139" i="91" s="1"/>
  <c r="Q139" i="91"/>
  <c r="O139" i="91"/>
  <c r="M139" i="91"/>
  <c r="K139" i="91"/>
  <c r="I139" i="91"/>
  <c r="G139" i="91"/>
  <c r="E139" i="91"/>
  <c r="C139" i="91"/>
  <c r="R138" i="91"/>
  <c r="S138" i="91" s="1"/>
  <c r="Q138" i="91"/>
  <c r="O138" i="91"/>
  <c r="M138" i="91"/>
  <c r="K138" i="91"/>
  <c r="I138" i="91"/>
  <c r="G138" i="91"/>
  <c r="E138" i="91"/>
  <c r="C138" i="91"/>
  <c r="R137" i="91"/>
  <c r="S137" i="91" s="1"/>
  <c r="Q137" i="91"/>
  <c r="O137" i="91"/>
  <c r="M137" i="91"/>
  <c r="K137" i="91"/>
  <c r="I137" i="91"/>
  <c r="G137" i="91"/>
  <c r="E137" i="91"/>
  <c r="C137" i="91"/>
  <c r="R136" i="91"/>
  <c r="S136" i="91" s="1"/>
  <c r="Q136" i="91"/>
  <c r="O136" i="91"/>
  <c r="M136" i="91"/>
  <c r="K136" i="91"/>
  <c r="I136" i="91"/>
  <c r="G136" i="91"/>
  <c r="E136" i="91"/>
  <c r="C136" i="91"/>
  <c r="R135" i="91"/>
  <c r="S135" i="91" s="1"/>
  <c r="Q135" i="91"/>
  <c r="O135" i="91"/>
  <c r="M135" i="91"/>
  <c r="K135" i="91"/>
  <c r="I135" i="91"/>
  <c r="G135" i="91"/>
  <c r="E135" i="91"/>
  <c r="C135" i="91"/>
  <c r="R134" i="91"/>
  <c r="S134" i="91" s="1"/>
  <c r="Q134" i="91"/>
  <c r="O134" i="91"/>
  <c r="M134" i="91"/>
  <c r="K134" i="91"/>
  <c r="I134" i="91"/>
  <c r="G134" i="91"/>
  <c r="E134" i="91"/>
  <c r="C134" i="91"/>
  <c r="R133" i="91"/>
  <c r="S133" i="91" s="1"/>
  <c r="Q133" i="91"/>
  <c r="O133" i="91"/>
  <c r="M133" i="91"/>
  <c r="K133" i="91"/>
  <c r="I133" i="91"/>
  <c r="G133" i="91"/>
  <c r="E133" i="91"/>
  <c r="C133" i="91"/>
  <c r="R132" i="91"/>
  <c r="S132" i="91" s="1"/>
  <c r="Q132" i="91"/>
  <c r="O132" i="91"/>
  <c r="M132" i="91"/>
  <c r="K132" i="91"/>
  <c r="I132" i="91"/>
  <c r="G132" i="91"/>
  <c r="E132" i="91"/>
  <c r="C132" i="91"/>
  <c r="R131" i="91"/>
  <c r="S131" i="91" s="1"/>
  <c r="Q131" i="91"/>
  <c r="O131" i="91"/>
  <c r="M131" i="91"/>
  <c r="K131" i="91"/>
  <c r="I131" i="91"/>
  <c r="G131" i="91"/>
  <c r="E131" i="91"/>
  <c r="C131" i="91"/>
  <c r="R130" i="91"/>
  <c r="S130" i="91" s="1"/>
  <c r="Q130" i="91"/>
  <c r="O130" i="91"/>
  <c r="M130" i="91"/>
  <c r="K130" i="91"/>
  <c r="I130" i="91"/>
  <c r="G130" i="91"/>
  <c r="E130" i="91"/>
  <c r="C130" i="91"/>
  <c r="R129" i="91"/>
  <c r="S129" i="91" s="1"/>
  <c r="Q129" i="91"/>
  <c r="O129" i="91"/>
  <c r="M129" i="91"/>
  <c r="K129" i="91"/>
  <c r="I129" i="91"/>
  <c r="G129" i="91"/>
  <c r="E129" i="91"/>
  <c r="C129" i="91"/>
  <c r="R128" i="91"/>
  <c r="S128" i="91" s="1"/>
  <c r="Q128" i="91"/>
  <c r="O128" i="91"/>
  <c r="M128" i="91"/>
  <c r="K128" i="91"/>
  <c r="I128" i="91"/>
  <c r="G128" i="91"/>
  <c r="E128" i="91"/>
  <c r="C128" i="91"/>
  <c r="R127" i="91"/>
  <c r="S127" i="91" s="1"/>
  <c r="Q127" i="91"/>
  <c r="O127" i="91"/>
  <c r="M127" i="91"/>
  <c r="K127" i="91"/>
  <c r="I127" i="91"/>
  <c r="G127" i="91"/>
  <c r="E127" i="91"/>
  <c r="C127" i="91"/>
  <c r="R126" i="91"/>
  <c r="S126" i="91" s="1"/>
  <c r="Q126" i="91"/>
  <c r="O126" i="91"/>
  <c r="M126" i="91"/>
  <c r="K126" i="91"/>
  <c r="I126" i="91"/>
  <c r="G126" i="91"/>
  <c r="E126" i="91"/>
  <c r="C126" i="91"/>
  <c r="R125" i="91"/>
  <c r="S125" i="91" s="1"/>
  <c r="Q125" i="91"/>
  <c r="O125" i="91"/>
  <c r="M125" i="91"/>
  <c r="K125" i="91"/>
  <c r="I125" i="91"/>
  <c r="G125" i="91"/>
  <c r="E125" i="91"/>
  <c r="C125" i="91"/>
  <c r="R124" i="91"/>
  <c r="S124" i="91" s="1"/>
  <c r="Q124" i="91"/>
  <c r="O124" i="91"/>
  <c r="M124" i="91"/>
  <c r="K124" i="91"/>
  <c r="I124" i="91"/>
  <c r="G124" i="91"/>
  <c r="E124" i="91"/>
  <c r="C124" i="91"/>
  <c r="R123" i="91"/>
  <c r="S123" i="91" s="1"/>
  <c r="Q123" i="91"/>
  <c r="O123" i="91"/>
  <c r="M123" i="91"/>
  <c r="K123" i="91"/>
  <c r="I123" i="91"/>
  <c r="G123" i="91"/>
  <c r="E123" i="91"/>
  <c r="C123" i="91"/>
  <c r="R122" i="91"/>
  <c r="S122" i="91" s="1"/>
  <c r="Q122" i="91"/>
  <c r="O122" i="91"/>
  <c r="M122" i="91"/>
  <c r="K122" i="91"/>
  <c r="I122" i="91"/>
  <c r="G122" i="91"/>
  <c r="E122" i="91"/>
  <c r="C122" i="91"/>
  <c r="R121" i="91"/>
  <c r="S121" i="91" s="1"/>
  <c r="Q121" i="91"/>
  <c r="O121" i="91"/>
  <c r="M121" i="91"/>
  <c r="K121" i="91"/>
  <c r="I121" i="91"/>
  <c r="G121" i="91"/>
  <c r="E121" i="91"/>
  <c r="C121" i="91"/>
  <c r="R120" i="91"/>
  <c r="S120" i="91" s="1"/>
  <c r="Q120" i="91"/>
  <c r="O120" i="91"/>
  <c r="M120" i="91"/>
  <c r="K120" i="91"/>
  <c r="I120" i="91"/>
  <c r="G120" i="91"/>
  <c r="E120" i="91"/>
  <c r="C120" i="91"/>
  <c r="R119" i="91"/>
  <c r="S119" i="91" s="1"/>
  <c r="Q119" i="91"/>
  <c r="O119" i="91"/>
  <c r="M119" i="91"/>
  <c r="K119" i="91"/>
  <c r="I119" i="91"/>
  <c r="G119" i="91"/>
  <c r="E119" i="91"/>
  <c r="C119" i="91"/>
  <c r="R118" i="91"/>
  <c r="S118" i="91" s="1"/>
  <c r="Q118" i="91"/>
  <c r="O118" i="91"/>
  <c r="M118" i="91"/>
  <c r="K118" i="91"/>
  <c r="I118" i="91"/>
  <c r="G118" i="91"/>
  <c r="E118" i="91"/>
  <c r="C118" i="91"/>
  <c r="R117" i="91"/>
  <c r="S117" i="91" s="1"/>
  <c r="Q117" i="91"/>
  <c r="O117" i="91"/>
  <c r="M117" i="91"/>
  <c r="K117" i="91"/>
  <c r="I117" i="91"/>
  <c r="G117" i="91"/>
  <c r="E117" i="91"/>
  <c r="C117" i="91"/>
  <c r="R116" i="91"/>
  <c r="S116" i="91" s="1"/>
  <c r="Q116" i="91"/>
  <c r="O116" i="91"/>
  <c r="M116" i="91"/>
  <c r="K116" i="91"/>
  <c r="I116" i="91"/>
  <c r="G116" i="91"/>
  <c r="E116" i="91"/>
  <c r="C116" i="91"/>
  <c r="R115" i="91"/>
  <c r="S115" i="91" s="1"/>
  <c r="Q115" i="91"/>
  <c r="O115" i="91"/>
  <c r="M115" i="91"/>
  <c r="K115" i="91"/>
  <c r="I115" i="91"/>
  <c r="G115" i="91"/>
  <c r="E115" i="91"/>
  <c r="C115" i="91"/>
  <c r="R114" i="91"/>
  <c r="S114" i="91" s="1"/>
  <c r="Q114" i="91"/>
  <c r="O114" i="91"/>
  <c r="M114" i="91"/>
  <c r="K114" i="91"/>
  <c r="I114" i="91"/>
  <c r="G114" i="91"/>
  <c r="E114" i="91"/>
  <c r="C114" i="91"/>
  <c r="R113" i="91"/>
  <c r="S113" i="91" s="1"/>
  <c r="Q113" i="91"/>
  <c r="O113" i="91"/>
  <c r="M113" i="91"/>
  <c r="K113" i="91"/>
  <c r="I113" i="91"/>
  <c r="G113" i="91"/>
  <c r="E113" i="91"/>
  <c r="C113" i="91"/>
  <c r="R112" i="91"/>
  <c r="S112" i="91" s="1"/>
  <c r="Q112" i="91"/>
  <c r="O112" i="91"/>
  <c r="M112" i="91"/>
  <c r="K112" i="91"/>
  <c r="I112" i="91"/>
  <c r="G112" i="91"/>
  <c r="E112" i="91"/>
  <c r="C112" i="91"/>
  <c r="R111" i="91"/>
  <c r="S111" i="91" s="1"/>
  <c r="Q111" i="91"/>
  <c r="O111" i="91"/>
  <c r="M111" i="91"/>
  <c r="K111" i="91"/>
  <c r="I111" i="91"/>
  <c r="G111" i="91"/>
  <c r="E111" i="91"/>
  <c r="C111" i="91"/>
  <c r="R110" i="91"/>
  <c r="S110" i="91" s="1"/>
  <c r="Q110" i="91"/>
  <c r="O110" i="91"/>
  <c r="M110" i="91"/>
  <c r="K110" i="91"/>
  <c r="I110" i="91"/>
  <c r="G110" i="91"/>
  <c r="E110" i="91"/>
  <c r="C110" i="91"/>
  <c r="R109" i="91"/>
  <c r="S109" i="91" s="1"/>
  <c r="Q109" i="91"/>
  <c r="O109" i="91"/>
  <c r="M109" i="91"/>
  <c r="K109" i="91"/>
  <c r="I109" i="91"/>
  <c r="G109" i="91"/>
  <c r="E109" i="91"/>
  <c r="C109" i="91"/>
  <c r="R108" i="91"/>
  <c r="S108" i="91" s="1"/>
  <c r="Q108" i="91"/>
  <c r="O108" i="91"/>
  <c r="M108" i="91"/>
  <c r="K108" i="91"/>
  <c r="I108" i="91"/>
  <c r="G108" i="91"/>
  <c r="E108" i="91"/>
  <c r="C108" i="91"/>
  <c r="R107" i="91"/>
  <c r="S107" i="91" s="1"/>
  <c r="Q107" i="91"/>
  <c r="O107" i="91"/>
  <c r="M107" i="91"/>
  <c r="K107" i="91"/>
  <c r="I107" i="91"/>
  <c r="G107" i="91"/>
  <c r="E107" i="91"/>
  <c r="C107" i="91"/>
  <c r="R106" i="91"/>
  <c r="S106" i="91" s="1"/>
  <c r="Q106" i="91"/>
  <c r="O106" i="91"/>
  <c r="M106" i="91"/>
  <c r="K106" i="91"/>
  <c r="I106" i="91"/>
  <c r="G106" i="91"/>
  <c r="E106" i="91"/>
  <c r="C106" i="91"/>
  <c r="R105" i="91"/>
  <c r="S105" i="91" s="1"/>
  <c r="Q105" i="91"/>
  <c r="O105" i="91"/>
  <c r="M105" i="91"/>
  <c r="K105" i="91"/>
  <c r="I105" i="91"/>
  <c r="G105" i="91"/>
  <c r="E105" i="91"/>
  <c r="C105" i="91"/>
  <c r="R104" i="91"/>
  <c r="S104" i="91" s="1"/>
  <c r="Q104" i="91"/>
  <c r="O104" i="91"/>
  <c r="M104" i="91"/>
  <c r="K104" i="91"/>
  <c r="I104" i="91"/>
  <c r="G104" i="91"/>
  <c r="E104" i="91"/>
  <c r="C104" i="91"/>
  <c r="R103" i="91"/>
  <c r="S103" i="91" s="1"/>
  <c r="Q103" i="91"/>
  <c r="O103" i="91"/>
  <c r="M103" i="91"/>
  <c r="K103" i="91"/>
  <c r="I103" i="91"/>
  <c r="G103" i="91"/>
  <c r="E103" i="91"/>
  <c r="C103" i="91"/>
  <c r="R102" i="91"/>
  <c r="S102" i="91" s="1"/>
  <c r="Q102" i="91"/>
  <c r="O102" i="91"/>
  <c r="M102" i="91"/>
  <c r="K102" i="91"/>
  <c r="I102" i="91"/>
  <c r="G102" i="91"/>
  <c r="E102" i="91"/>
  <c r="C102" i="91"/>
  <c r="R101" i="91"/>
  <c r="S101" i="91" s="1"/>
  <c r="Q101" i="91"/>
  <c r="O101" i="91"/>
  <c r="M101" i="91"/>
  <c r="K101" i="91"/>
  <c r="I101" i="91"/>
  <c r="G101" i="91"/>
  <c r="E101" i="91"/>
  <c r="C101" i="91"/>
  <c r="R100" i="91"/>
  <c r="S100" i="91" s="1"/>
  <c r="Q100" i="91"/>
  <c r="O100" i="91"/>
  <c r="M100" i="91"/>
  <c r="K100" i="91"/>
  <c r="I100" i="91"/>
  <c r="G100" i="91"/>
  <c r="E100" i="91"/>
  <c r="C100" i="91"/>
  <c r="R99" i="91"/>
  <c r="S99" i="91" s="1"/>
  <c r="Q99" i="91"/>
  <c r="O99" i="91"/>
  <c r="M99" i="91"/>
  <c r="K99" i="91"/>
  <c r="I99" i="91"/>
  <c r="G99" i="91"/>
  <c r="E99" i="91"/>
  <c r="C99" i="91"/>
  <c r="R98" i="91"/>
  <c r="S98" i="91" s="1"/>
  <c r="Q98" i="91"/>
  <c r="O98" i="91"/>
  <c r="M98" i="91"/>
  <c r="K98" i="91"/>
  <c r="I98" i="91"/>
  <c r="G98" i="91"/>
  <c r="E98" i="91"/>
  <c r="C98" i="91"/>
  <c r="R97" i="91"/>
  <c r="S97" i="91" s="1"/>
  <c r="Q97" i="91"/>
  <c r="O97" i="91"/>
  <c r="M97" i="91"/>
  <c r="K97" i="91"/>
  <c r="I97" i="91"/>
  <c r="G97" i="91"/>
  <c r="E97" i="91"/>
  <c r="C97" i="91"/>
  <c r="R96" i="91"/>
  <c r="S96" i="91" s="1"/>
  <c r="Q96" i="91"/>
  <c r="O96" i="91"/>
  <c r="M96" i="91"/>
  <c r="K96" i="91"/>
  <c r="I96" i="91"/>
  <c r="G96" i="91"/>
  <c r="E96" i="91"/>
  <c r="C96" i="91"/>
  <c r="R95" i="91"/>
  <c r="S95" i="91" s="1"/>
  <c r="Q95" i="91"/>
  <c r="O95" i="91"/>
  <c r="M95" i="91"/>
  <c r="K95" i="91"/>
  <c r="I95" i="91"/>
  <c r="G95" i="91"/>
  <c r="E95" i="91"/>
  <c r="C95" i="91"/>
  <c r="R94" i="91"/>
  <c r="S94" i="91" s="1"/>
  <c r="Q94" i="91"/>
  <c r="O94" i="91"/>
  <c r="M94" i="91"/>
  <c r="K94" i="91"/>
  <c r="I94" i="91"/>
  <c r="G94" i="91"/>
  <c r="E94" i="91"/>
  <c r="C94" i="91"/>
  <c r="R93" i="91"/>
  <c r="S93" i="91" s="1"/>
  <c r="Q93" i="91"/>
  <c r="O93" i="91"/>
  <c r="M93" i="91"/>
  <c r="K93" i="91"/>
  <c r="I93" i="91"/>
  <c r="G93" i="91"/>
  <c r="E93" i="91"/>
  <c r="C93" i="91"/>
  <c r="R92" i="91"/>
  <c r="S92" i="91" s="1"/>
  <c r="Q92" i="91"/>
  <c r="O92" i="91"/>
  <c r="M92" i="91"/>
  <c r="K92" i="91"/>
  <c r="I92" i="91"/>
  <c r="G92" i="91"/>
  <c r="E92" i="91"/>
  <c r="C92" i="91"/>
  <c r="R91" i="91"/>
  <c r="S91" i="91" s="1"/>
  <c r="Q91" i="91"/>
  <c r="O91" i="91"/>
  <c r="M91" i="91"/>
  <c r="K91" i="91"/>
  <c r="I91" i="91"/>
  <c r="G91" i="91"/>
  <c r="E91" i="91"/>
  <c r="C91" i="91"/>
  <c r="R90" i="91"/>
  <c r="S90" i="91" s="1"/>
  <c r="Q90" i="91"/>
  <c r="O90" i="91"/>
  <c r="M90" i="91"/>
  <c r="K90" i="91"/>
  <c r="I90" i="91"/>
  <c r="G90" i="91"/>
  <c r="E90" i="91"/>
  <c r="C90" i="91"/>
  <c r="R89" i="91"/>
  <c r="S89" i="91" s="1"/>
  <c r="Q89" i="91"/>
  <c r="O89" i="91"/>
  <c r="M89" i="91"/>
  <c r="K89" i="91"/>
  <c r="I89" i="91"/>
  <c r="G89" i="91"/>
  <c r="E89" i="91"/>
  <c r="C89" i="91"/>
  <c r="R88" i="91"/>
  <c r="S88" i="91" s="1"/>
  <c r="Q88" i="91"/>
  <c r="O88" i="91"/>
  <c r="M88" i="91"/>
  <c r="K88" i="91"/>
  <c r="I88" i="91"/>
  <c r="G88" i="91"/>
  <c r="E88" i="91"/>
  <c r="C88" i="91"/>
  <c r="R87" i="91"/>
  <c r="S87" i="91" s="1"/>
  <c r="Q87" i="91"/>
  <c r="O87" i="91"/>
  <c r="M87" i="91"/>
  <c r="K87" i="91"/>
  <c r="I87" i="91"/>
  <c r="G87" i="91"/>
  <c r="E87" i="91"/>
  <c r="C87" i="91"/>
  <c r="R86" i="91"/>
  <c r="S86" i="91" s="1"/>
  <c r="Q86" i="91"/>
  <c r="O86" i="91"/>
  <c r="M86" i="91"/>
  <c r="K86" i="91"/>
  <c r="I86" i="91"/>
  <c r="G86" i="91"/>
  <c r="E86" i="91"/>
  <c r="C86" i="91"/>
  <c r="R85" i="91"/>
  <c r="S85" i="91" s="1"/>
  <c r="Q85" i="91"/>
  <c r="O85" i="91"/>
  <c r="M85" i="91"/>
  <c r="K85" i="91"/>
  <c r="I85" i="91"/>
  <c r="G85" i="91"/>
  <c r="E85" i="91"/>
  <c r="C85" i="91"/>
  <c r="R84" i="91"/>
  <c r="S84" i="91" s="1"/>
  <c r="Q84" i="91"/>
  <c r="O84" i="91"/>
  <c r="M84" i="91"/>
  <c r="K84" i="91"/>
  <c r="I84" i="91"/>
  <c r="G84" i="91"/>
  <c r="E84" i="91"/>
  <c r="C84" i="91"/>
  <c r="R83" i="91"/>
  <c r="S83" i="91" s="1"/>
  <c r="Q83" i="91"/>
  <c r="O83" i="91"/>
  <c r="M83" i="91"/>
  <c r="K83" i="91"/>
  <c r="I83" i="91"/>
  <c r="G83" i="91"/>
  <c r="E83" i="91"/>
  <c r="C83" i="91"/>
  <c r="R82" i="91"/>
  <c r="S82" i="91" s="1"/>
  <c r="Q82" i="91"/>
  <c r="O82" i="91"/>
  <c r="M82" i="91"/>
  <c r="K82" i="91"/>
  <c r="I82" i="91"/>
  <c r="G82" i="91"/>
  <c r="E82" i="91"/>
  <c r="C82" i="91"/>
  <c r="R81" i="91"/>
  <c r="S81" i="91" s="1"/>
  <c r="Q81" i="91"/>
  <c r="O81" i="91"/>
  <c r="M81" i="91"/>
  <c r="K81" i="91"/>
  <c r="I81" i="91"/>
  <c r="G81" i="91"/>
  <c r="E81" i="91"/>
  <c r="C81" i="91"/>
  <c r="R80" i="91"/>
  <c r="S80" i="91" s="1"/>
  <c r="Q80" i="91"/>
  <c r="O80" i="91"/>
  <c r="M80" i="91"/>
  <c r="K80" i="91"/>
  <c r="I80" i="91"/>
  <c r="G80" i="91"/>
  <c r="E80" i="91"/>
  <c r="C80" i="91"/>
  <c r="R79" i="91"/>
  <c r="S79" i="91" s="1"/>
  <c r="Q79" i="91"/>
  <c r="O79" i="91"/>
  <c r="M79" i="91"/>
  <c r="K79" i="91"/>
  <c r="I79" i="91"/>
  <c r="G79" i="91"/>
  <c r="E79" i="91"/>
  <c r="C79" i="91"/>
  <c r="R78" i="91"/>
  <c r="S78" i="91" s="1"/>
  <c r="Q78" i="91"/>
  <c r="O78" i="91"/>
  <c r="M78" i="91"/>
  <c r="K78" i="91"/>
  <c r="I78" i="91"/>
  <c r="G78" i="91"/>
  <c r="E78" i="91"/>
  <c r="C78" i="91"/>
  <c r="R77" i="91"/>
  <c r="S77" i="91" s="1"/>
  <c r="Q77" i="91"/>
  <c r="O77" i="91"/>
  <c r="M77" i="91"/>
  <c r="K77" i="91"/>
  <c r="I77" i="91"/>
  <c r="G77" i="91"/>
  <c r="E77" i="91"/>
  <c r="C77" i="91"/>
  <c r="R76" i="91"/>
  <c r="S76" i="91" s="1"/>
  <c r="Q76" i="91"/>
  <c r="O76" i="91"/>
  <c r="M76" i="91"/>
  <c r="K76" i="91"/>
  <c r="I76" i="91"/>
  <c r="G76" i="91"/>
  <c r="E76" i="91"/>
  <c r="C76" i="91"/>
  <c r="R75" i="91"/>
  <c r="S75" i="91" s="1"/>
  <c r="Q75" i="91"/>
  <c r="O75" i="91"/>
  <c r="M75" i="91"/>
  <c r="K75" i="91"/>
  <c r="I75" i="91"/>
  <c r="G75" i="91"/>
  <c r="E75" i="91"/>
  <c r="C75" i="91"/>
  <c r="R74" i="91"/>
  <c r="S74" i="91" s="1"/>
  <c r="Q74" i="91"/>
  <c r="O74" i="91"/>
  <c r="M74" i="91"/>
  <c r="K74" i="91"/>
  <c r="I74" i="91"/>
  <c r="G74" i="91"/>
  <c r="E74" i="91"/>
  <c r="C74" i="91"/>
  <c r="R73" i="91"/>
  <c r="S73" i="91" s="1"/>
  <c r="Q73" i="91"/>
  <c r="O73" i="91"/>
  <c r="M73" i="91"/>
  <c r="K73" i="91"/>
  <c r="I73" i="91"/>
  <c r="G73" i="91"/>
  <c r="E73" i="91"/>
  <c r="C73" i="91"/>
  <c r="R72" i="91"/>
  <c r="S72" i="91" s="1"/>
  <c r="Q72" i="91"/>
  <c r="O72" i="91"/>
  <c r="M72" i="91"/>
  <c r="K72" i="91"/>
  <c r="I72" i="91"/>
  <c r="G72" i="91"/>
  <c r="E72" i="91"/>
  <c r="C72" i="91"/>
  <c r="R71" i="91"/>
  <c r="S71" i="91" s="1"/>
  <c r="Q71" i="91"/>
  <c r="O71" i="91"/>
  <c r="M71" i="91"/>
  <c r="K71" i="91"/>
  <c r="I71" i="91"/>
  <c r="G71" i="91"/>
  <c r="E71" i="91"/>
  <c r="C71" i="91"/>
  <c r="R70" i="91"/>
  <c r="S70" i="91" s="1"/>
  <c r="Q70" i="91"/>
  <c r="O70" i="91"/>
  <c r="M70" i="91"/>
  <c r="K70" i="91"/>
  <c r="I70" i="91"/>
  <c r="G70" i="91"/>
  <c r="E70" i="91"/>
  <c r="C70" i="91"/>
  <c r="R69" i="91"/>
  <c r="S69" i="91" s="1"/>
  <c r="Q69" i="91"/>
  <c r="O69" i="91"/>
  <c r="M69" i="91"/>
  <c r="K69" i="91"/>
  <c r="I69" i="91"/>
  <c r="G69" i="91"/>
  <c r="E69" i="91"/>
  <c r="C69" i="91"/>
  <c r="R68" i="91"/>
  <c r="S68" i="91" s="1"/>
  <c r="Q68" i="91"/>
  <c r="O68" i="91"/>
  <c r="M68" i="91"/>
  <c r="K68" i="91"/>
  <c r="I68" i="91"/>
  <c r="G68" i="91"/>
  <c r="E68" i="91"/>
  <c r="C68" i="91"/>
  <c r="R67" i="91"/>
  <c r="S67" i="91" s="1"/>
  <c r="Q67" i="91"/>
  <c r="O67" i="91"/>
  <c r="M67" i="91"/>
  <c r="K67" i="91"/>
  <c r="I67" i="91"/>
  <c r="G67" i="91"/>
  <c r="E67" i="91"/>
  <c r="C67" i="91"/>
  <c r="R66" i="91"/>
  <c r="S66" i="91" s="1"/>
  <c r="Q66" i="91"/>
  <c r="O66" i="91"/>
  <c r="M66" i="91"/>
  <c r="K66" i="91"/>
  <c r="I66" i="91"/>
  <c r="G66" i="91"/>
  <c r="E66" i="91"/>
  <c r="C66" i="91"/>
  <c r="R65" i="91"/>
  <c r="S65" i="91" s="1"/>
  <c r="Q65" i="91"/>
  <c r="O65" i="91"/>
  <c r="M65" i="91"/>
  <c r="K65" i="91"/>
  <c r="I65" i="91"/>
  <c r="G65" i="91"/>
  <c r="E65" i="91"/>
  <c r="C65" i="91"/>
  <c r="R64" i="91"/>
  <c r="S64" i="91" s="1"/>
  <c r="Q64" i="91"/>
  <c r="O64" i="91"/>
  <c r="M64" i="91"/>
  <c r="K64" i="91"/>
  <c r="I64" i="91"/>
  <c r="G64" i="91"/>
  <c r="E64" i="91"/>
  <c r="C64" i="91"/>
  <c r="R63" i="91"/>
  <c r="S63" i="91" s="1"/>
  <c r="Q63" i="91"/>
  <c r="O63" i="91"/>
  <c r="M63" i="91"/>
  <c r="K63" i="91"/>
  <c r="I63" i="91"/>
  <c r="G63" i="91"/>
  <c r="E63" i="91"/>
  <c r="C63" i="91"/>
  <c r="R62" i="91"/>
  <c r="S62" i="91" s="1"/>
  <c r="Q62" i="91"/>
  <c r="O62" i="91"/>
  <c r="M62" i="91"/>
  <c r="K62" i="91"/>
  <c r="I62" i="91"/>
  <c r="G62" i="91"/>
  <c r="E62" i="91"/>
  <c r="C62" i="91"/>
  <c r="R61" i="91"/>
  <c r="S61" i="91" s="1"/>
  <c r="Q61" i="91"/>
  <c r="O61" i="91"/>
  <c r="M61" i="91"/>
  <c r="K61" i="91"/>
  <c r="I61" i="91"/>
  <c r="G61" i="91"/>
  <c r="E61" i="91"/>
  <c r="C61" i="91"/>
  <c r="R60" i="91"/>
  <c r="S60" i="91" s="1"/>
  <c r="Q60" i="91"/>
  <c r="O60" i="91"/>
  <c r="M60" i="91"/>
  <c r="K60" i="91"/>
  <c r="I60" i="91"/>
  <c r="G60" i="91"/>
  <c r="E60" i="91"/>
  <c r="C60" i="91"/>
  <c r="R59" i="91"/>
  <c r="S59" i="91" s="1"/>
  <c r="Q59" i="91"/>
  <c r="O59" i="91"/>
  <c r="M59" i="91"/>
  <c r="K59" i="91"/>
  <c r="I59" i="91"/>
  <c r="G59" i="91"/>
  <c r="E59" i="91"/>
  <c r="C59" i="91"/>
  <c r="R58" i="91"/>
  <c r="S58" i="91" s="1"/>
  <c r="Q58" i="91"/>
  <c r="O58" i="91"/>
  <c r="M58" i="91"/>
  <c r="K58" i="91"/>
  <c r="I58" i="91"/>
  <c r="G58" i="91"/>
  <c r="E58" i="91"/>
  <c r="C58" i="91"/>
  <c r="R57" i="91"/>
  <c r="S57" i="91" s="1"/>
  <c r="Q57" i="91"/>
  <c r="O57" i="91"/>
  <c r="M57" i="91"/>
  <c r="K57" i="91"/>
  <c r="I57" i="91"/>
  <c r="G57" i="91"/>
  <c r="E57" i="91"/>
  <c r="C57" i="91"/>
  <c r="R56" i="91"/>
  <c r="S56" i="91" s="1"/>
  <c r="Q56" i="91"/>
  <c r="O56" i="91"/>
  <c r="M56" i="91"/>
  <c r="K56" i="91"/>
  <c r="I56" i="91"/>
  <c r="G56" i="91"/>
  <c r="E56" i="91"/>
  <c r="C56" i="91"/>
  <c r="R55" i="91"/>
  <c r="S55" i="91" s="1"/>
  <c r="Q55" i="91"/>
  <c r="O55" i="91"/>
  <c r="M55" i="91"/>
  <c r="K55" i="91"/>
  <c r="I55" i="91"/>
  <c r="G55" i="91"/>
  <c r="E55" i="91"/>
  <c r="C55" i="91"/>
  <c r="R54" i="91"/>
  <c r="S54" i="91" s="1"/>
  <c r="Q54" i="91"/>
  <c r="O54" i="91"/>
  <c r="M54" i="91"/>
  <c r="K54" i="91"/>
  <c r="I54" i="91"/>
  <c r="G54" i="91"/>
  <c r="E54" i="91"/>
  <c r="C54" i="91"/>
  <c r="R53" i="91"/>
  <c r="S53" i="91" s="1"/>
  <c r="Q53" i="91"/>
  <c r="O53" i="91"/>
  <c r="M53" i="91"/>
  <c r="K53" i="91"/>
  <c r="I53" i="91"/>
  <c r="G53" i="91"/>
  <c r="E53" i="91"/>
  <c r="C53" i="91"/>
  <c r="R52" i="91"/>
  <c r="S52" i="91" s="1"/>
  <c r="Q52" i="91"/>
  <c r="O52" i="91"/>
  <c r="M52" i="91"/>
  <c r="K52" i="91"/>
  <c r="I52" i="91"/>
  <c r="G52" i="91"/>
  <c r="E52" i="91"/>
  <c r="C52" i="91"/>
  <c r="R51" i="91"/>
  <c r="S51" i="91" s="1"/>
  <c r="Q51" i="91"/>
  <c r="O51" i="91"/>
  <c r="M51" i="91"/>
  <c r="K51" i="91"/>
  <c r="I51" i="91"/>
  <c r="G51" i="91"/>
  <c r="E51" i="91"/>
  <c r="C51" i="91"/>
  <c r="R50" i="91"/>
  <c r="S50" i="91" s="1"/>
  <c r="Q50" i="91"/>
  <c r="O50" i="91"/>
  <c r="M50" i="91"/>
  <c r="K50" i="91"/>
  <c r="I50" i="91"/>
  <c r="G50" i="91"/>
  <c r="E50" i="91"/>
  <c r="C50" i="91"/>
  <c r="R49" i="91"/>
  <c r="S49" i="91" s="1"/>
  <c r="Q49" i="91"/>
  <c r="O49" i="91"/>
  <c r="M49" i="91"/>
  <c r="K49" i="91"/>
  <c r="I49" i="91"/>
  <c r="G49" i="91"/>
  <c r="E49" i="91"/>
  <c r="C49" i="91"/>
  <c r="R48" i="91"/>
  <c r="S48" i="91" s="1"/>
  <c r="Q48" i="91"/>
  <c r="O48" i="91"/>
  <c r="M48" i="91"/>
  <c r="K48" i="91"/>
  <c r="I48" i="91"/>
  <c r="G48" i="91"/>
  <c r="E48" i="91"/>
  <c r="C48" i="91"/>
  <c r="R47" i="91"/>
  <c r="S47" i="91" s="1"/>
  <c r="Q47" i="91"/>
  <c r="O47" i="91"/>
  <c r="M47" i="91"/>
  <c r="K47" i="91"/>
  <c r="I47" i="91"/>
  <c r="G47" i="91"/>
  <c r="E47" i="91"/>
  <c r="C47" i="91"/>
  <c r="R46" i="91"/>
  <c r="S46" i="91" s="1"/>
  <c r="Q46" i="91"/>
  <c r="O46" i="91"/>
  <c r="M46" i="91"/>
  <c r="K46" i="91"/>
  <c r="I46" i="91"/>
  <c r="G46" i="91"/>
  <c r="E46" i="91"/>
  <c r="C46" i="91"/>
  <c r="R45" i="91"/>
  <c r="S45" i="91" s="1"/>
  <c r="Q45" i="91"/>
  <c r="O45" i="91"/>
  <c r="M45" i="91"/>
  <c r="K45" i="91"/>
  <c r="I45" i="91"/>
  <c r="G45" i="91"/>
  <c r="E45" i="91"/>
  <c r="C45" i="91"/>
  <c r="R44" i="91"/>
  <c r="S44" i="91" s="1"/>
  <c r="Q44" i="91"/>
  <c r="O44" i="91"/>
  <c r="M44" i="91"/>
  <c r="K44" i="91"/>
  <c r="I44" i="91"/>
  <c r="G44" i="91"/>
  <c r="E44" i="91"/>
  <c r="C44" i="91"/>
  <c r="R43" i="91"/>
  <c r="S43" i="91" s="1"/>
  <c r="Q43" i="91"/>
  <c r="O43" i="91"/>
  <c r="M43" i="91"/>
  <c r="K43" i="91"/>
  <c r="I43" i="91"/>
  <c r="G43" i="91"/>
  <c r="E43" i="91"/>
  <c r="C43" i="91"/>
  <c r="R42" i="91"/>
  <c r="S42" i="91" s="1"/>
  <c r="Q42" i="91"/>
  <c r="O42" i="91"/>
  <c r="M42" i="91"/>
  <c r="K42" i="91"/>
  <c r="I42" i="91"/>
  <c r="G42" i="91"/>
  <c r="E42" i="91"/>
  <c r="C42" i="91"/>
  <c r="R41" i="91"/>
  <c r="S41" i="91" s="1"/>
  <c r="Q41" i="91"/>
  <c r="O41" i="91"/>
  <c r="M41" i="91"/>
  <c r="K41" i="91"/>
  <c r="I41" i="91"/>
  <c r="G41" i="91"/>
  <c r="E41" i="91"/>
  <c r="C41" i="91"/>
  <c r="R40" i="91"/>
  <c r="S40" i="91" s="1"/>
  <c r="Q40" i="91"/>
  <c r="O40" i="91"/>
  <c r="M40" i="91"/>
  <c r="K40" i="91"/>
  <c r="I40" i="91"/>
  <c r="G40" i="91"/>
  <c r="E40" i="91"/>
  <c r="C40" i="91"/>
  <c r="R39" i="91"/>
  <c r="S39" i="91" s="1"/>
  <c r="Q39" i="91"/>
  <c r="O39" i="91"/>
  <c r="M39" i="91"/>
  <c r="K39" i="91"/>
  <c r="I39" i="91"/>
  <c r="G39" i="91"/>
  <c r="E39" i="91"/>
  <c r="C39" i="91"/>
  <c r="R38" i="91"/>
  <c r="S38" i="91" s="1"/>
  <c r="Q38" i="91"/>
  <c r="O38" i="91"/>
  <c r="M38" i="91"/>
  <c r="K38" i="91"/>
  <c r="I38" i="91"/>
  <c r="G38" i="91"/>
  <c r="E38" i="91"/>
  <c r="C38" i="91"/>
  <c r="R37" i="91"/>
  <c r="S37" i="91" s="1"/>
  <c r="Q37" i="91"/>
  <c r="O37" i="91"/>
  <c r="M37" i="91"/>
  <c r="K37" i="91"/>
  <c r="I37" i="91"/>
  <c r="G37" i="91"/>
  <c r="E37" i="91"/>
  <c r="C37" i="91"/>
  <c r="R36" i="91"/>
  <c r="S36" i="91" s="1"/>
  <c r="Q36" i="91"/>
  <c r="O36" i="91"/>
  <c r="M36" i="91"/>
  <c r="K36" i="91"/>
  <c r="I36" i="91"/>
  <c r="G36" i="91"/>
  <c r="E36" i="91"/>
  <c r="C36" i="91"/>
  <c r="R35" i="91"/>
  <c r="S35" i="91" s="1"/>
  <c r="Q35" i="91"/>
  <c r="O35" i="91"/>
  <c r="M35" i="91"/>
  <c r="K35" i="91"/>
  <c r="I35" i="91"/>
  <c r="G35" i="91"/>
  <c r="E35" i="91"/>
  <c r="C35" i="91"/>
  <c r="R34" i="91"/>
  <c r="S34" i="91" s="1"/>
  <c r="Q34" i="91"/>
  <c r="O34" i="91"/>
  <c r="M34" i="91"/>
  <c r="K34" i="91"/>
  <c r="I34" i="91"/>
  <c r="G34" i="91"/>
  <c r="E34" i="91"/>
  <c r="C34" i="91"/>
  <c r="R33" i="91"/>
  <c r="S33" i="91" s="1"/>
  <c r="Q33" i="91"/>
  <c r="O33" i="91"/>
  <c r="M33" i="91"/>
  <c r="K33" i="91"/>
  <c r="I33" i="91"/>
  <c r="G33" i="91"/>
  <c r="E33" i="91"/>
  <c r="C33" i="91"/>
  <c r="R32" i="91"/>
  <c r="S32" i="91" s="1"/>
  <c r="Q32" i="91"/>
  <c r="O32" i="91"/>
  <c r="M32" i="91"/>
  <c r="K32" i="91"/>
  <c r="I32" i="91"/>
  <c r="G32" i="91"/>
  <c r="E32" i="91"/>
  <c r="C32" i="91"/>
  <c r="R31" i="91"/>
  <c r="S31" i="91" s="1"/>
  <c r="Q31" i="91"/>
  <c r="O31" i="91"/>
  <c r="M31" i="91"/>
  <c r="K31" i="91"/>
  <c r="I31" i="91"/>
  <c r="G31" i="91"/>
  <c r="E31" i="91"/>
  <c r="C31" i="91"/>
  <c r="R30" i="91"/>
  <c r="S30" i="91" s="1"/>
  <c r="Q30" i="91"/>
  <c r="O30" i="91"/>
  <c r="M30" i="91"/>
  <c r="K30" i="91"/>
  <c r="I30" i="91"/>
  <c r="G30" i="91"/>
  <c r="E30" i="91"/>
  <c r="C30" i="91"/>
  <c r="R29" i="91"/>
  <c r="S29" i="91" s="1"/>
  <c r="Q29" i="91"/>
  <c r="O29" i="91"/>
  <c r="M29" i="91"/>
  <c r="K29" i="91"/>
  <c r="I29" i="91"/>
  <c r="G29" i="91"/>
  <c r="E29" i="91"/>
  <c r="C29" i="91"/>
  <c r="Q28" i="91"/>
  <c r="O28" i="91"/>
  <c r="M28" i="91"/>
  <c r="K28" i="91"/>
  <c r="I28" i="91"/>
  <c r="G28" i="91"/>
  <c r="E28" i="91"/>
  <c r="C28" i="91"/>
  <c r="Q27" i="91"/>
  <c r="O27" i="91"/>
  <c r="M27" i="91"/>
  <c r="K27" i="91"/>
  <c r="I27" i="91"/>
  <c r="G27" i="91"/>
  <c r="E27" i="91"/>
  <c r="C27" i="91"/>
  <c r="Q26" i="91"/>
  <c r="O26" i="91"/>
  <c r="M26" i="91"/>
  <c r="K26" i="91"/>
  <c r="I26" i="91"/>
  <c r="G26" i="91"/>
  <c r="E26" i="91"/>
  <c r="C26" i="91"/>
  <c r="Q25" i="91"/>
  <c r="O25" i="91"/>
  <c r="M25" i="91"/>
  <c r="K25" i="91"/>
  <c r="I25" i="91"/>
  <c r="G25" i="91"/>
  <c r="E25" i="91"/>
  <c r="C25" i="91"/>
  <c r="P23" i="91"/>
  <c r="N23" i="91"/>
  <c r="L23" i="91"/>
  <c r="J23" i="91"/>
  <c r="H23" i="91"/>
  <c r="F23" i="91"/>
  <c r="D23" i="91"/>
  <c r="B22" i="91"/>
  <c r="D12" i="91"/>
  <c r="E12" i="91" s="1"/>
  <c r="F12" i="91" s="1"/>
  <c r="G12" i="91" s="1"/>
  <c r="H12" i="91" s="1"/>
  <c r="I12" i="91" s="1"/>
  <c r="J12" i="91" s="1"/>
  <c r="K12" i="91" s="1"/>
  <c r="L12" i="91" s="1"/>
  <c r="M12" i="91" s="1"/>
  <c r="N12" i="91" s="1"/>
  <c r="O12" i="91" s="1"/>
  <c r="P12" i="91" s="1"/>
  <c r="Q12" i="91" s="1"/>
  <c r="R12" i="91" s="1"/>
  <c r="S12" i="91" s="1"/>
  <c r="D10" i="91"/>
  <c r="E10" i="91" s="1"/>
  <c r="F10" i="91" s="1"/>
  <c r="G10" i="91" s="1"/>
  <c r="H10" i="91" s="1"/>
  <c r="I10" i="91" s="1"/>
  <c r="J10" i="91" s="1"/>
  <c r="K10" i="91" s="1"/>
  <c r="L10" i="91" s="1"/>
  <c r="M10" i="91" s="1"/>
  <c r="N10" i="91" s="1"/>
  <c r="O10" i="91" s="1"/>
  <c r="P10" i="91" s="1"/>
  <c r="Q10" i="91" s="1"/>
  <c r="R10" i="91" s="1"/>
  <c r="S10" i="91" s="1"/>
  <c r="D8" i="91"/>
  <c r="E8" i="91" s="1"/>
  <c r="F8" i="91" s="1"/>
  <c r="G8" i="91" s="1"/>
  <c r="H8" i="91" s="1"/>
  <c r="I8" i="91" s="1"/>
  <c r="J8" i="91" s="1"/>
  <c r="K8" i="91" s="1"/>
  <c r="L8" i="91" s="1"/>
  <c r="M8" i="91" s="1"/>
  <c r="N8" i="91" s="1"/>
  <c r="O8" i="91" s="1"/>
  <c r="P8" i="91" s="1"/>
  <c r="Q8" i="91" s="1"/>
  <c r="R8" i="91" s="1"/>
  <c r="S8" i="91" s="1"/>
  <c r="D6" i="91"/>
  <c r="E6" i="91" s="1"/>
  <c r="F6" i="91" s="1"/>
  <c r="G6" i="91" s="1"/>
  <c r="H6" i="91" s="1"/>
  <c r="I6" i="91" s="1"/>
  <c r="J6" i="91" s="1"/>
  <c r="K6" i="91" s="1"/>
  <c r="L6" i="91" s="1"/>
  <c r="M6" i="91" s="1"/>
  <c r="N6" i="91" s="1"/>
  <c r="O6" i="91" s="1"/>
  <c r="P6" i="91" s="1"/>
  <c r="Q6" i="91" s="1"/>
  <c r="R6" i="91" s="1"/>
  <c r="S6" i="91" s="1"/>
  <c r="S2" i="91"/>
  <c r="R2" i="91"/>
  <c r="Q2" i="91"/>
  <c r="P2" i="91"/>
  <c r="O2" i="91"/>
  <c r="N2" i="91"/>
  <c r="M2" i="91"/>
  <c r="L2" i="91"/>
  <c r="K2" i="91"/>
  <c r="J2" i="91"/>
  <c r="I2" i="91"/>
  <c r="H2" i="91"/>
  <c r="G2" i="91"/>
  <c r="F2" i="91"/>
  <c r="E2" i="91"/>
  <c r="D2" i="91"/>
  <c r="C2" i="91"/>
  <c r="A120" i="90"/>
  <c r="E111" i="90"/>
  <c r="H112" i="90" s="1"/>
  <c r="E109" i="90"/>
  <c r="A124" i="90" s="1"/>
  <c r="E107" i="90"/>
  <c r="A122" i="90" s="1"/>
  <c r="H106" i="90"/>
  <c r="H105" i="90"/>
  <c r="H104" i="90"/>
  <c r="D101" i="90"/>
  <c r="C101" i="90"/>
  <c r="C91" i="90"/>
  <c r="E90" i="90"/>
  <c r="D89" i="90"/>
  <c r="C89" i="90" s="1"/>
  <c r="C87" i="90" s="1"/>
  <c r="H77" i="90"/>
  <c r="D77" i="90"/>
  <c r="C76" i="90"/>
  <c r="F59" i="90"/>
  <c r="O55" i="90" s="1"/>
  <c r="E59" i="90"/>
  <c r="D59" i="90"/>
  <c r="F56" i="90"/>
  <c r="N55" i="90"/>
  <c r="M55" i="90"/>
  <c r="K55" i="90"/>
  <c r="J55" i="90"/>
  <c r="I55" i="90"/>
  <c r="F55" i="90" s="1"/>
  <c r="O53" i="90" s="1"/>
  <c r="O54" i="90"/>
  <c r="N54" i="90"/>
  <c r="N53" i="90"/>
  <c r="K49" i="90"/>
  <c r="F48" i="90"/>
  <c r="O52" i="90" s="1"/>
  <c r="E48" i="90"/>
  <c r="N52" i="90" s="1"/>
  <c r="D48" i="90"/>
  <c r="M52" i="90" s="1"/>
  <c r="F33" i="90"/>
  <c r="B30" i="90"/>
  <c r="C25" i="90" s="1"/>
  <c r="D27" i="90"/>
  <c r="D30" i="90" s="1"/>
  <c r="C30" i="90" s="1"/>
  <c r="D17" i="90"/>
  <c r="C17" i="90"/>
  <c r="C18" i="90" s="1"/>
  <c r="D18" i="90" s="1"/>
  <c r="L4" i="90"/>
  <c r="K4" i="90"/>
  <c r="H1" i="90"/>
  <c r="A120" i="89"/>
  <c r="E111" i="89"/>
  <c r="A126" i="89" s="1"/>
  <c r="E109" i="89"/>
  <c r="A124" i="89" s="1"/>
  <c r="E107" i="89"/>
  <c r="A122" i="89" s="1"/>
  <c r="H106" i="89"/>
  <c r="H105" i="89"/>
  <c r="H104" i="89"/>
  <c r="D101" i="89"/>
  <c r="C101" i="89"/>
  <c r="C91" i="89"/>
  <c r="E90" i="89"/>
  <c r="D89" i="89"/>
  <c r="C89" i="89"/>
  <c r="C87" i="89" s="1"/>
  <c r="H77" i="89"/>
  <c r="D77" i="89"/>
  <c r="C76" i="89"/>
  <c r="F59" i="89"/>
  <c r="O55" i="89" s="1"/>
  <c r="E59" i="89"/>
  <c r="D59" i="89"/>
  <c r="F56" i="89"/>
  <c r="N55" i="89"/>
  <c r="M55" i="89"/>
  <c r="K55" i="89"/>
  <c r="J55" i="89"/>
  <c r="I55" i="89"/>
  <c r="F55" i="89" s="1"/>
  <c r="O53" i="89" s="1"/>
  <c r="O54" i="89"/>
  <c r="N54" i="89"/>
  <c r="N53" i="89"/>
  <c r="K49" i="89"/>
  <c r="F48" i="89"/>
  <c r="O52" i="89" s="1"/>
  <c r="E48" i="89"/>
  <c r="N52" i="89" s="1"/>
  <c r="D48" i="89"/>
  <c r="M52" i="89" s="1"/>
  <c r="F33" i="89"/>
  <c r="B30" i="89"/>
  <c r="C25" i="89" s="1"/>
  <c r="D27" i="89"/>
  <c r="D30" i="89" s="1"/>
  <c r="C30" i="89" s="1"/>
  <c r="D17" i="89"/>
  <c r="C17" i="89"/>
  <c r="C18" i="89" s="1"/>
  <c r="D18" i="89" s="1"/>
  <c r="L4" i="89"/>
  <c r="K4" i="89"/>
  <c r="H1" i="89"/>
  <c r="Q72" i="88"/>
  <c r="Q59" i="88"/>
  <c r="K59" i="88"/>
  <c r="P74" i="88" s="1"/>
  <c r="Q58" i="88"/>
  <c r="Q51" i="88"/>
  <c r="J50" i="88"/>
  <c r="M47" i="88"/>
  <c r="D46" i="88"/>
  <c r="F33" i="88"/>
  <c r="F61" i="88" s="1"/>
  <c r="F23" i="88"/>
  <c r="D23" i="88" s="1"/>
  <c r="F21" i="88"/>
  <c r="F20" i="88"/>
  <c r="M19" i="88"/>
  <c r="F18" i="88"/>
  <c r="F17" i="88"/>
  <c r="F15" i="88"/>
  <c r="B131" i="87"/>
  <c r="H47" i="87" s="1"/>
  <c r="AB47" i="87" s="1"/>
  <c r="B129" i="87"/>
  <c r="J46" i="87" s="1"/>
  <c r="AC46" i="87" s="1"/>
  <c r="B127" i="87"/>
  <c r="D126" i="87"/>
  <c r="H44" i="87" s="1"/>
  <c r="AB44" i="87" s="1"/>
  <c r="D124" i="87"/>
  <c r="E124" i="87" s="1"/>
  <c r="F124" i="87" s="1"/>
  <c r="G124" i="87" s="1"/>
  <c r="H124" i="87" s="1"/>
  <c r="I124" i="87" s="1"/>
  <c r="J124" i="87" s="1"/>
  <c r="K124" i="87" s="1"/>
  <c r="L124" i="87" s="1"/>
  <c r="M124" i="87" s="1"/>
  <c r="D120" i="87"/>
  <c r="E120" i="87" s="1"/>
  <c r="F120" i="87" s="1"/>
  <c r="G120" i="87" s="1"/>
  <c r="H120" i="87" s="1"/>
  <c r="I120" i="87" s="1"/>
  <c r="J120" i="87" s="1"/>
  <c r="K120" i="87" s="1"/>
  <c r="L120" i="87" s="1"/>
  <c r="M120" i="87" s="1"/>
  <c r="D118" i="87"/>
  <c r="E118" i="87" s="1"/>
  <c r="F118" i="87" s="1"/>
  <c r="G118" i="87" s="1"/>
  <c r="E116" i="87"/>
  <c r="F116" i="87" s="1"/>
  <c r="G116" i="87" s="1"/>
  <c r="H116" i="87" s="1"/>
  <c r="I116" i="87" s="1"/>
  <c r="J116" i="87" s="1"/>
  <c r="K116" i="87" s="1"/>
  <c r="L116" i="87" s="1"/>
  <c r="M116" i="87" s="1"/>
  <c r="D116" i="87"/>
  <c r="D114" i="87"/>
  <c r="E114" i="87" s="1"/>
  <c r="F114" i="87" s="1"/>
  <c r="G114" i="87" s="1"/>
  <c r="H114" i="87" s="1"/>
  <c r="I114" i="87" s="1"/>
  <c r="J114" i="87" s="1"/>
  <c r="K114" i="87" s="1"/>
  <c r="L114" i="87" s="1"/>
  <c r="M114" i="87" s="1"/>
  <c r="E112" i="87"/>
  <c r="F112" i="87" s="1"/>
  <c r="G112" i="87" s="1"/>
  <c r="H112" i="87" s="1"/>
  <c r="I112" i="87" s="1"/>
  <c r="J112" i="87" s="1"/>
  <c r="K112" i="87" s="1"/>
  <c r="L112" i="87" s="1"/>
  <c r="M112" i="87" s="1"/>
  <c r="D112" i="87"/>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F32" i="87" s="1"/>
  <c r="AA32" i="87" s="1"/>
  <c r="B97" i="87"/>
  <c r="J31" i="87" s="1"/>
  <c r="AC31" i="87" s="1"/>
  <c r="B95" i="87"/>
  <c r="J30" i="87" s="1"/>
  <c r="AC30" i="87" s="1"/>
  <c r="B93" i="87"/>
  <c r="J29" i="87" s="1"/>
  <c r="AC29" i="87" s="1"/>
  <c r="D92" i="87"/>
  <c r="E92" i="87" s="1"/>
  <c r="F92" i="87" s="1"/>
  <c r="G92" i="87" s="1"/>
  <c r="H92" i="87" s="1"/>
  <c r="I92" i="87" s="1"/>
  <c r="J92" i="87" s="1"/>
  <c r="K92" i="87" s="1"/>
  <c r="L92" i="87" s="1"/>
  <c r="M92" i="87" s="1"/>
  <c r="B91" i="87"/>
  <c r="J28" i="87" s="1"/>
  <c r="AC28" i="87" s="1"/>
  <c r="D90" i="87"/>
  <c r="E90" i="87" s="1"/>
  <c r="F90" i="87" s="1"/>
  <c r="G90" i="87" s="1"/>
  <c r="H90" i="87" s="1"/>
  <c r="I90" i="87" s="1"/>
  <c r="J90" i="87" s="1"/>
  <c r="K90" i="87" s="1"/>
  <c r="L90" i="87" s="1"/>
  <c r="M90" i="87" s="1"/>
  <c r="B89" i="87"/>
  <c r="J27" i="87" s="1"/>
  <c r="AC27" i="87" s="1"/>
  <c r="D88" i="87"/>
  <c r="E88" i="87" s="1"/>
  <c r="F88" i="87" s="1"/>
  <c r="G88" i="87" s="1"/>
  <c r="H88" i="87" s="1"/>
  <c r="I88" i="87" s="1"/>
  <c r="J88" i="87" s="1"/>
  <c r="K88" i="87" s="1"/>
  <c r="L88" i="87" s="1"/>
  <c r="M88"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H14" i="87" s="1"/>
  <c r="AB14" i="87" s="1"/>
  <c r="B73" i="87"/>
  <c r="H13" i="87" s="1"/>
  <c r="AB13" i="87" s="1"/>
  <c r="B71" i="87"/>
  <c r="F12" i="87" s="1"/>
  <c r="AA12" i="87" s="1"/>
  <c r="D70" i="87"/>
  <c r="E70" i="87" s="1"/>
  <c r="F70" i="87" s="1"/>
  <c r="G70" i="87" s="1"/>
  <c r="H70" i="87" s="1"/>
  <c r="I70" i="87" s="1"/>
  <c r="J70" i="87" s="1"/>
  <c r="K70" i="87" s="1"/>
  <c r="L70" i="87" s="1"/>
  <c r="M70" i="87" s="1"/>
  <c r="M68" i="87"/>
  <c r="L68" i="87"/>
  <c r="K68" i="87"/>
  <c r="J68" i="87"/>
  <c r="I68" i="87"/>
  <c r="H68" i="87"/>
  <c r="G68" i="87"/>
  <c r="F68" i="87"/>
  <c r="E68" i="87"/>
  <c r="D68" i="87"/>
  <c r="C68" i="87"/>
  <c r="F67" i="87"/>
  <c r="G67" i="87" s="1"/>
  <c r="H67" i="87" s="1"/>
  <c r="I67" i="87" s="1"/>
  <c r="C64" i="87"/>
  <c r="H9" i="87" s="1"/>
  <c r="AB9" i="87" s="1"/>
  <c r="I55" i="87"/>
  <c r="J55" i="87" s="1"/>
  <c r="G55" i="87"/>
  <c r="H55" i="87" s="1"/>
  <c r="E55" i="87"/>
  <c r="F55" i="87" s="1"/>
  <c r="P50" i="87"/>
  <c r="P49" i="87"/>
  <c r="V48" i="87"/>
  <c r="T48" i="87"/>
  <c r="R48" i="87"/>
  <c r="P48" i="87"/>
  <c r="Q47" i="87"/>
  <c r="Z47" i="87" s="1"/>
  <c r="F47" i="87"/>
  <c r="AA47" i="87" s="1"/>
  <c r="Q46" i="87"/>
  <c r="Z46" i="87" s="1"/>
  <c r="H46" i="87"/>
  <c r="AB46" i="87" s="1"/>
  <c r="F46" i="87"/>
  <c r="AA46" i="87" s="1"/>
  <c r="Q45" i="87"/>
  <c r="Z45" i="87" s="1"/>
  <c r="J45" i="87"/>
  <c r="AC45" i="87" s="1"/>
  <c r="H45" i="87"/>
  <c r="AB45" i="87" s="1"/>
  <c r="F45" i="87"/>
  <c r="AA45" i="87" s="1"/>
  <c r="Q44" i="87"/>
  <c r="Z44" i="87" s="1"/>
  <c r="F44" i="87"/>
  <c r="AA44" i="87" s="1"/>
  <c r="Q43" i="87"/>
  <c r="Z43" i="87" s="1"/>
  <c r="H43" i="87"/>
  <c r="AB43" i="87" s="1"/>
  <c r="F43" i="87"/>
  <c r="AA43" i="87" s="1"/>
  <c r="Q42" i="87"/>
  <c r="Z42" i="87" s="1"/>
  <c r="J42" i="87"/>
  <c r="AC42" i="87" s="1"/>
  <c r="H42" i="87"/>
  <c r="AB42" i="87" s="1"/>
  <c r="F42" i="87"/>
  <c r="AA42" i="87" s="1"/>
  <c r="Q41" i="87"/>
  <c r="Z41" i="87" s="1"/>
  <c r="H41" i="87"/>
  <c r="AB41" i="87" s="1"/>
  <c r="F41" i="87"/>
  <c r="AA41" i="87" s="1"/>
  <c r="Q40" i="87"/>
  <c r="Z40" i="87" s="1"/>
  <c r="F40" i="87"/>
  <c r="AA40" i="87" s="1"/>
  <c r="Q39" i="87"/>
  <c r="Z39" i="87" s="1"/>
  <c r="J39" i="87"/>
  <c r="AC39" i="87" s="1"/>
  <c r="H39" i="87"/>
  <c r="AB39" i="87" s="1"/>
  <c r="F39" i="87"/>
  <c r="AA39" i="87" s="1"/>
  <c r="Q38" i="87"/>
  <c r="Z38" i="87" s="1"/>
  <c r="H38" i="87"/>
  <c r="AB38" i="87" s="1"/>
  <c r="F38" i="87"/>
  <c r="AA38" i="87" s="1"/>
  <c r="Q37" i="87"/>
  <c r="Z37" i="87" s="1"/>
  <c r="G37" i="87"/>
  <c r="C37" i="87"/>
  <c r="Q36" i="87"/>
  <c r="Z36" i="87" s="1"/>
  <c r="J36" i="87"/>
  <c r="AC36" i="87" s="1"/>
  <c r="H36" i="87"/>
  <c r="AB36" i="87" s="1"/>
  <c r="F36" i="87"/>
  <c r="AA36" i="87" s="1"/>
  <c r="Q35" i="87"/>
  <c r="Z35" i="87" s="1"/>
  <c r="Q34" i="87"/>
  <c r="Z34" i="87" s="1"/>
  <c r="C34" i="87"/>
  <c r="H34" i="87" s="1"/>
  <c r="Q33" i="87"/>
  <c r="Z33" i="87" s="1"/>
  <c r="J33" i="87"/>
  <c r="AC33" i="87" s="1"/>
  <c r="H33" i="87"/>
  <c r="AB33" i="87" s="1"/>
  <c r="F33" i="87"/>
  <c r="AA33" i="87" s="1"/>
  <c r="Q32" i="87"/>
  <c r="Z32" i="87" s="1"/>
  <c r="J32" i="87"/>
  <c r="AC32" i="87" s="1"/>
  <c r="H32" i="87"/>
  <c r="AB32" i="87" s="1"/>
  <c r="Q31" i="87"/>
  <c r="Z31" i="87" s="1"/>
  <c r="H31" i="87"/>
  <c r="AB31" i="87" s="1"/>
  <c r="F31" i="87"/>
  <c r="AA31" i="87" s="1"/>
  <c r="Q30" i="87"/>
  <c r="Z30" i="87" s="1"/>
  <c r="H30" i="87"/>
  <c r="AB30" i="87" s="1"/>
  <c r="F30" i="87"/>
  <c r="AA30" i="87" s="1"/>
  <c r="Q29" i="87"/>
  <c r="Z29" i="87" s="1"/>
  <c r="Q28" i="87"/>
  <c r="Z28" i="87" s="1"/>
  <c r="H28" i="87"/>
  <c r="AB28" i="87" s="1"/>
  <c r="F28" i="87"/>
  <c r="AA28" i="87" s="1"/>
  <c r="Q27" i="87"/>
  <c r="Z27" i="87" s="1"/>
  <c r="Q25" i="87"/>
  <c r="Z25" i="87" s="1"/>
  <c r="J25" i="87"/>
  <c r="AC25" i="87" s="1"/>
  <c r="H25" i="87"/>
  <c r="AB25" i="87" s="1"/>
  <c r="F25" i="87"/>
  <c r="AA25" i="87" s="1"/>
  <c r="Q23" i="87"/>
  <c r="Z23" i="87" s="1"/>
  <c r="J23" i="87"/>
  <c r="W23" i="87" s="1"/>
  <c r="H23" i="87"/>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C15" i="87"/>
  <c r="Q14" i="87"/>
  <c r="Z14" i="87" s="1"/>
  <c r="J14" i="87"/>
  <c r="AC14" i="87" s="1"/>
  <c r="F14" i="87"/>
  <c r="AA14" i="87" s="1"/>
  <c r="Q13" i="87"/>
  <c r="Z13" i="87" s="1"/>
  <c r="Q12" i="87"/>
  <c r="Z12" i="87" s="1"/>
  <c r="J12" i="87"/>
  <c r="AC12" i="87" s="1"/>
  <c r="H12" i="87"/>
  <c r="AB12" i="87" s="1"/>
  <c r="Q11" i="87"/>
  <c r="Z11" i="87" s="1"/>
  <c r="J11" i="87"/>
  <c r="AC11" i="87" s="1"/>
  <c r="H11" i="87"/>
  <c r="AB11" i="87" s="1"/>
  <c r="F11" i="87"/>
  <c r="AA11" i="87" s="1"/>
  <c r="Q10" i="87"/>
  <c r="Z10" i="87" s="1"/>
  <c r="J10" i="87"/>
  <c r="AC10" i="87" s="1"/>
  <c r="F10" i="87"/>
  <c r="AA10" i="87" s="1"/>
  <c r="Q9" i="87"/>
  <c r="Z9" i="87" s="1"/>
  <c r="J9" i="87"/>
  <c r="AC9" i="87" s="1"/>
  <c r="F9" i="87"/>
  <c r="AA9" i="87" s="1"/>
  <c r="J8" i="87"/>
  <c r="W8" i="87" s="1"/>
  <c r="H8" i="87"/>
  <c r="AB8" i="87" s="1"/>
  <c r="F8" i="87"/>
  <c r="S8" i="87" s="1"/>
  <c r="B131" i="86"/>
  <c r="H47" i="86" s="1"/>
  <c r="AB47" i="86" s="1"/>
  <c r="B129" i="86"/>
  <c r="H46" i="86" s="1"/>
  <c r="AB46" i="86" s="1"/>
  <c r="B127" i="86"/>
  <c r="D126" i="86"/>
  <c r="H44" i="86" s="1"/>
  <c r="AB44" i="86" s="1"/>
  <c r="E124" i="86"/>
  <c r="F124" i="86" s="1"/>
  <c r="G124" i="86" s="1"/>
  <c r="H124" i="86" s="1"/>
  <c r="I124" i="86" s="1"/>
  <c r="J124" i="86" s="1"/>
  <c r="K124" i="86" s="1"/>
  <c r="L124" i="86" s="1"/>
  <c r="M124" i="86" s="1"/>
  <c r="D124" i="86"/>
  <c r="H43" i="86" s="1"/>
  <c r="AB43" i="86" s="1"/>
  <c r="D120" i="86"/>
  <c r="H41" i="86" s="1"/>
  <c r="AB41" i="86" s="1"/>
  <c r="D118" i="86"/>
  <c r="F40" i="86" s="1"/>
  <c r="AA40"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J32" i="86" s="1"/>
  <c r="AC32" i="86" s="1"/>
  <c r="B97" i="86"/>
  <c r="J31" i="86" s="1"/>
  <c r="AC31" i="86" s="1"/>
  <c r="B95" i="86"/>
  <c r="J30" i="86" s="1"/>
  <c r="AC30" i="86" s="1"/>
  <c r="B93" i="86"/>
  <c r="D92" i="86"/>
  <c r="E92" i="86" s="1"/>
  <c r="F92" i="86" s="1"/>
  <c r="G92" i="86" s="1"/>
  <c r="H92" i="86" s="1"/>
  <c r="I92" i="86" s="1"/>
  <c r="J92" i="86" s="1"/>
  <c r="K92" i="86" s="1"/>
  <c r="L92" i="86" s="1"/>
  <c r="M92" i="86" s="1"/>
  <c r="B91" i="86"/>
  <c r="H28" i="86" s="1"/>
  <c r="AB28" i="86" s="1"/>
  <c r="D90" i="86"/>
  <c r="E90" i="86" s="1"/>
  <c r="F90" i="86" s="1"/>
  <c r="G90" i="86" s="1"/>
  <c r="H90" i="86" s="1"/>
  <c r="I90" i="86" s="1"/>
  <c r="J90" i="86" s="1"/>
  <c r="K90" i="86" s="1"/>
  <c r="L90" i="86" s="1"/>
  <c r="M90" i="86" s="1"/>
  <c r="B89" i="86"/>
  <c r="D88" i="86"/>
  <c r="J25" i="86" s="1"/>
  <c r="AC25" i="86" s="1"/>
  <c r="D86" i="86"/>
  <c r="E86" i="86" s="1"/>
  <c r="D84" i="86"/>
  <c r="E84" i="86" s="1"/>
  <c r="F84" i="86" s="1"/>
  <c r="G84" i="86" s="1"/>
  <c r="D82" i="86"/>
  <c r="E82" i="86" s="1"/>
  <c r="F82" i="86" s="1"/>
  <c r="G82" i="86" s="1"/>
  <c r="E80" i="86"/>
  <c r="F80" i="86" s="1"/>
  <c r="G80" i="86" s="1"/>
  <c r="D80" i="86"/>
  <c r="D78" i="86"/>
  <c r="H15" i="86" s="1"/>
  <c r="AB15" i="86" s="1"/>
  <c r="B75" i="86"/>
  <c r="J14" i="86" s="1"/>
  <c r="AC14" i="86" s="1"/>
  <c r="B73" i="86"/>
  <c r="F13" i="86" s="1"/>
  <c r="AA13" i="86" s="1"/>
  <c r="B71" i="86"/>
  <c r="J12" i="86" s="1"/>
  <c r="AC12" i="86" s="1"/>
  <c r="D70" i="86"/>
  <c r="E70" i="86" s="1"/>
  <c r="F70" i="86" s="1"/>
  <c r="G70" i="86" s="1"/>
  <c r="H70" i="86" s="1"/>
  <c r="I70" i="86" s="1"/>
  <c r="J70" i="86" s="1"/>
  <c r="K70" i="86" s="1"/>
  <c r="L70" i="86" s="1"/>
  <c r="M70" i="86" s="1"/>
  <c r="M68" i="86"/>
  <c r="L68" i="86"/>
  <c r="K68" i="86"/>
  <c r="J68" i="86"/>
  <c r="I68" i="86"/>
  <c r="H68" i="86"/>
  <c r="G68" i="86"/>
  <c r="F68" i="86"/>
  <c r="E68" i="86"/>
  <c r="D68" i="86"/>
  <c r="C68" i="86"/>
  <c r="F67" i="86"/>
  <c r="J10" i="86" s="1"/>
  <c r="AC10" i="86" s="1"/>
  <c r="C64" i="86"/>
  <c r="H9" i="86" s="1"/>
  <c r="AB9" i="86" s="1"/>
  <c r="I55" i="86"/>
  <c r="J55" i="86" s="1"/>
  <c r="G55" i="86"/>
  <c r="H55" i="86" s="1"/>
  <c r="E55" i="86"/>
  <c r="F55" i="86" s="1"/>
  <c r="P50" i="86"/>
  <c r="P49" i="86"/>
  <c r="V48" i="86"/>
  <c r="T48" i="86"/>
  <c r="R48" i="86"/>
  <c r="P48" i="86"/>
  <c r="Q47" i="86"/>
  <c r="Z47" i="86" s="1"/>
  <c r="Q46" i="86"/>
  <c r="Z46" i="86" s="1"/>
  <c r="J46" i="86"/>
  <c r="AC46" i="86" s="1"/>
  <c r="Q45" i="86"/>
  <c r="Z45" i="86" s="1"/>
  <c r="J45" i="86"/>
  <c r="AC45" i="86" s="1"/>
  <c r="H45" i="86"/>
  <c r="AB45" i="86" s="1"/>
  <c r="F45" i="86"/>
  <c r="AA45" i="86" s="1"/>
  <c r="Q44" i="86"/>
  <c r="Z44" i="86" s="1"/>
  <c r="J44" i="86"/>
  <c r="AC44" i="86" s="1"/>
  <c r="Q43" i="86"/>
  <c r="Z43" i="86" s="1"/>
  <c r="J43" i="86"/>
  <c r="AC43" i="86" s="1"/>
  <c r="F43" i="86"/>
  <c r="AA43" i="86" s="1"/>
  <c r="Q42" i="86"/>
  <c r="Z42" i="86" s="1"/>
  <c r="J42" i="86"/>
  <c r="AC42" i="86" s="1"/>
  <c r="H42" i="86"/>
  <c r="AB42" i="86" s="1"/>
  <c r="F42" i="86"/>
  <c r="AA42" i="86" s="1"/>
  <c r="Q41" i="86"/>
  <c r="Z41" i="86" s="1"/>
  <c r="J41" i="86"/>
  <c r="AC41" i="86" s="1"/>
  <c r="Q40" i="86"/>
  <c r="Z40" i="86" s="1"/>
  <c r="H40" i="86"/>
  <c r="AB40" i="86" s="1"/>
  <c r="Q39" i="86"/>
  <c r="Z39" i="86" s="1"/>
  <c r="J39" i="86"/>
  <c r="AC39" i="86" s="1"/>
  <c r="H39" i="86"/>
  <c r="AB39" i="86" s="1"/>
  <c r="F39" i="86"/>
  <c r="AA39" i="86" s="1"/>
  <c r="Q38" i="86"/>
  <c r="Z38" i="86" s="1"/>
  <c r="J38" i="86"/>
  <c r="AC38" i="86" s="1"/>
  <c r="Q37" i="86"/>
  <c r="Z37" i="86" s="1"/>
  <c r="C37" i="86"/>
  <c r="Q36" i="86"/>
  <c r="Z36" i="86" s="1"/>
  <c r="J36" i="86"/>
  <c r="AC36" i="86" s="1"/>
  <c r="H36" i="86"/>
  <c r="AB36" i="86" s="1"/>
  <c r="F36" i="86"/>
  <c r="AA36" i="86" s="1"/>
  <c r="Q35" i="86"/>
  <c r="Z35" i="86" s="1"/>
  <c r="J35" i="86"/>
  <c r="AC35" i="86" s="1"/>
  <c r="H35" i="86"/>
  <c r="AB35" i="86" s="1"/>
  <c r="F35" i="86"/>
  <c r="AA35" i="86" s="1"/>
  <c r="Q34" i="86"/>
  <c r="Z34" i="86" s="1"/>
  <c r="C34" i="86"/>
  <c r="H34" i="86" s="1"/>
  <c r="Q33" i="86"/>
  <c r="Z33" i="86" s="1"/>
  <c r="J33" i="86"/>
  <c r="AC33" i="86" s="1"/>
  <c r="H33" i="86"/>
  <c r="AB33" i="86" s="1"/>
  <c r="F33" i="86"/>
  <c r="AA33" i="86" s="1"/>
  <c r="Q32" i="86"/>
  <c r="Z32" i="86" s="1"/>
  <c r="Q31" i="86"/>
  <c r="Z31" i="86" s="1"/>
  <c r="F31" i="86"/>
  <c r="AA31" i="86" s="1"/>
  <c r="Q30" i="86"/>
  <c r="Z30" i="86" s="1"/>
  <c r="H30" i="86"/>
  <c r="AB30" i="86" s="1"/>
  <c r="F30" i="86"/>
  <c r="AA30" i="86" s="1"/>
  <c r="Q29" i="86"/>
  <c r="Z29" i="86" s="1"/>
  <c r="J29" i="86"/>
  <c r="AC29" i="86" s="1"/>
  <c r="H29" i="86"/>
  <c r="AB29" i="86" s="1"/>
  <c r="F29" i="86"/>
  <c r="AA29" i="86" s="1"/>
  <c r="Q28" i="86"/>
  <c r="Z28" i="86" s="1"/>
  <c r="F28" i="86"/>
  <c r="AA28" i="86" s="1"/>
  <c r="Q27" i="86"/>
  <c r="Z27" i="86" s="1"/>
  <c r="F27" i="86"/>
  <c r="AA27" i="86" s="1"/>
  <c r="Q25" i="86"/>
  <c r="Z25" i="86" s="1"/>
  <c r="Q23" i="86"/>
  <c r="Z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S17" i="86" s="1"/>
  <c r="C17" i="86"/>
  <c r="Q15" i="86"/>
  <c r="Z15" i="86" s="1"/>
  <c r="J15" i="86"/>
  <c r="AC15" i="86" s="1"/>
  <c r="C15" i="86"/>
  <c r="Q14" i="86"/>
  <c r="Z14" i="86" s="1"/>
  <c r="Q13" i="86"/>
  <c r="Z13" i="86" s="1"/>
  <c r="J13" i="86"/>
  <c r="AC13" i="86" s="1"/>
  <c r="H13" i="86"/>
  <c r="AB13" i="86" s="1"/>
  <c r="Q12" i="86"/>
  <c r="Z12" i="86" s="1"/>
  <c r="H12" i="86"/>
  <c r="AB12" i="86" s="1"/>
  <c r="F12" i="86"/>
  <c r="AA12" i="86" s="1"/>
  <c r="Q11" i="86"/>
  <c r="Z11" i="86" s="1"/>
  <c r="J11" i="86"/>
  <c r="AC11" i="86" s="1"/>
  <c r="H11" i="86"/>
  <c r="AB11" i="86" s="1"/>
  <c r="F11" i="86"/>
  <c r="AA11" i="86" s="1"/>
  <c r="Q10" i="86"/>
  <c r="Z10" i="86" s="1"/>
  <c r="Q9" i="86"/>
  <c r="Z9" i="86" s="1"/>
  <c r="J9" i="86"/>
  <c r="AC9" i="86" s="1"/>
  <c r="U8" i="86"/>
  <c r="J8" i="86"/>
  <c r="AC8" i="86" s="1"/>
  <c r="H8" i="86"/>
  <c r="AB8" i="86" s="1"/>
  <c r="F8" i="86"/>
  <c r="AA8" i="86" s="1"/>
  <c r="G37" i="83"/>
  <c r="C37" i="83"/>
  <c r="C34" i="83"/>
  <c r="C69" i="84"/>
  <c r="C41" i="84"/>
  <c r="D34" i="90"/>
  <c r="D19" i="90"/>
  <c r="D20" i="89"/>
  <c r="C19" i="90"/>
  <c r="D34" i="89"/>
  <c r="C19" i="89"/>
  <c r="C20" i="89"/>
  <c r="D19" i="89"/>
  <c r="D35" i="90"/>
  <c r="C20" i="90"/>
  <c r="D2" i="86"/>
  <c r="D2" i="87"/>
  <c r="D35" i="89"/>
  <c r="D20" i="90"/>
  <c r="J40" i="86" l="1"/>
  <c r="AC40" i="86" s="1"/>
  <c r="J47" i="86"/>
  <c r="AC47" i="86" s="1"/>
  <c r="E88" i="86"/>
  <c r="F88" i="86" s="1"/>
  <c r="G88" i="86" s="1"/>
  <c r="H40" i="87"/>
  <c r="AB40" i="87" s="1"/>
  <c r="E126" i="87"/>
  <c r="F126" i="87" s="1"/>
  <c r="G126" i="87" s="1"/>
  <c r="F9" i="86"/>
  <c r="AA9" i="86" s="1"/>
  <c r="H25" i="86"/>
  <c r="AB25" i="86" s="1"/>
  <c r="H27" i="86"/>
  <c r="AB27" i="86" s="1"/>
  <c r="J28" i="86"/>
  <c r="AC28" i="86" s="1"/>
  <c r="F32" i="86"/>
  <c r="AA32" i="86" s="1"/>
  <c r="J27" i="86"/>
  <c r="AC27" i="86" s="1"/>
  <c r="J13" i="87"/>
  <c r="AC13" i="87" s="1"/>
  <c r="AC23" i="87"/>
  <c r="J38" i="87"/>
  <c r="AC38" i="87" s="1"/>
  <c r="J40" i="87"/>
  <c r="AC40" i="87" s="1"/>
  <c r="J41" i="87"/>
  <c r="AC41" i="87" s="1"/>
  <c r="J43" i="87"/>
  <c r="AC43" i="87" s="1"/>
  <c r="J44" i="87"/>
  <c r="AC44" i="87" s="1"/>
  <c r="J47" i="87"/>
  <c r="AC47" i="87" s="1"/>
  <c r="C24" i="89"/>
  <c r="C24" i="90"/>
  <c r="E118" i="86"/>
  <c r="F118" i="86" s="1"/>
  <c r="G118" i="86" s="1"/>
  <c r="H32" i="86"/>
  <c r="AB32" i="86" s="1"/>
  <c r="F86" i="86"/>
  <c r="G86" i="86" s="1"/>
  <c r="J23" i="86"/>
  <c r="AC23" i="86" s="1"/>
  <c r="H23" i="86"/>
  <c r="AB23" i="86" s="1"/>
  <c r="F23" i="86"/>
  <c r="AA23" i="86" s="1"/>
  <c r="J37" i="86"/>
  <c r="A126" i="90"/>
  <c r="F34" i="86"/>
  <c r="AA34" i="86" s="1"/>
  <c r="G67" i="86"/>
  <c r="H67" i="86" s="1"/>
  <c r="I67" i="86" s="1"/>
  <c r="F27" i="87"/>
  <c r="F29" i="87"/>
  <c r="AA29" i="87" s="1"/>
  <c r="F35" i="87"/>
  <c r="AA35" i="87" s="1"/>
  <c r="J37" i="87"/>
  <c r="W37" i="87" s="1"/>
  <c r="H103" i="89"/>
  <c r="D120" i="89" s="1"/>
  <c r="H111" i="89"/>
  <c r="D126" i="89" s="1"/>
  <c r="D127" i="89" s="1"/>
  <c r="H103" i="90"/>
  <c r="D120" i="90" s="1"/>
  <c r="D121" i="90" s="1"/>
  <c r="H111" i="90"/>
  <c r="D126" i="90" s="1"/>
  <c r="D127" i="90" s="1"/>
  <c r="G7" i="86"/>
  <c r="H10" i="86"/>
  <c r="AB10" i="86" s="1"/>
  <c r="H14" i="86"/>
  <c r="AB14" i="86" s="1"/>
  <c r="F15" i="86"/>
  <c r="AA15" i="86" s="1"/>
  <c r="J34" i="86"/>
  <c r="AC34" i="86" s="1"/>
  <c r="F44" i="86"/>
  <c r="AA44" i="86" s="1"/>
  <c r="F46" i="86"/>
  <c r="AA46" i="86" s="1"/>
  <c r="E120" i="86"/>
  <c r="F120" i="86" s="1"/>
  <c r="G120" i="86" s="1"/>
  <c r="H120" i="86" s="1"/>
  <c r="I120" i="86" s="1"/>
  <c r="J120" i="86" s="1"/>
  <c r="K120" i="86" s="1"/>
  <c r="L120" i="86" s="1"/>
  <c r="M120" i="86" s="1"/>
  <c r="E126" i="86"/>
  <c r="F126" i="86" s="1"/>
  <c r="G126" i="86" s="1"/>
  <c r="H29" i="87"/>
  <c r="AB29" i="87" s="1"/>
  <c r="I7" i="86"/>
  <c r="F10" i="86"/>
  <c r="AA10" i="86" s="1"/>
  <c r="F14" i="86"/>
  <c r="AA14" i="86" s="1"/>
  <c r="H31" i="86"/>
  <c r="AB31" i="86" s="1"/>
  <c r="F38" i="86"/>
  <c r="AA38" i="86" s="1"/>
  <c r="F41" i="86"/>
  <c r="AA41" i="86" s="1"/>
  <c r="F47" i="86"/>
  <c r="AA47" i="86" s="1"/>
  <c r="E78" i="86"/>
  <c r="F78" i="86" s="1"/>
  <c r="G78" i="86" s="1"/>
  <c r="F13" i="87"/>
  <c r="AA13" i="87" s="1"/>
  <c r="H27" i="87"/>
  <c r="AB27" i="87" s="1"/>
  <c r="F34" i="87"/>
  <c r="AA34" i="87" s="1"/>
  <c r="H35" i="87"/>
  <c r="AB35" i="87" s="1"/>
  <c r="H38" i="86"/>
  <c r="AB38" i="86" s="1"/>
  <c r="H10" i="87"/>
  <c r="AB10" i="87" s="1"/>
  <c r="F15" i="87"/>
  <c r="AA15" i="87" s="1"/>
  <c r="F23" i="87"/>
  <c r="AA23" i="87" s="1"/>
  <c r="J34" i="87"/>
  <c r="AC34" i="87" s="1"/>
  <c r="J35" i="87"/>
  <c r="AC35" i="87" s="1"/>
  <c r="F37" i="86"/>
  <c r="AA37" i="86" s="1"/>
  <c r="H37" i="86"/>
  <c r="AB37" i="86" s="1"/>
  <c r="F37" i="87"/>
  <c r="AA37" i="87" s="1"/>
  <c r="H37" i="87"/>
  <c r="AB37" i="87" s="1"/>
  <c r="D102" i="90"/>
  <c r="C103" i="90"/>
  <c r="G20" i="90"/>
  <c r="C102" i="90"/>
  <c r="D22" i="90"/>
  <c r="G19" i="90"/>
  <c r="D103" i="90"/>
  <c r="K120" i="90"/>
  <c r="C92" i="90"/>
  <c r="C94" i="90"/>
  <c r="H109" i="90"/>
  <c r="D102" i="89"/>
  <c r="C103" i="89"/>
  <c r="G20" i="89"/>
  <c r="C102" i="89"/>
  <c r="G19" i="89"/>
  <c r="D22" i="89"/>
  <c r="D103" i="89"/>
  <c r="C92" i="89"/>
  <c r="C94" i="89"/>
  <c r="K120" i="89"/>
  <c r="D121" i="89"/>
  <c r="H109" i="89"/>
  <c r="H112" i="89"/>
  <c r="D24" i="88"/>
  <c r="P61" i="88"/>
  <c r="D22" i="88"/>
  <c r="U8" i="87"/>
  <c r="AA8" i="87"/>
  <c r="AC8" i="87"/>
  <c r="U9" i="87"/>
  <c r="S10" i="87"/>
  <c r="W10" i="87"/>
  <c r="U11" i="87"/>
  <c r="S12" i="87"/>
  <c r="W12" i="87"/>
  <c r="U13" i="87"/>
  <c r="S14" i="87"/>
  <c r="W14" i="87"/>
  <c r="S15" i="87"/>
  <c r="W15" i="87"/>
  <c r="S17" i="87"/>
  <c r="W17" i="87"/>
  <c r="S19" i="87"/>
  <c r="W19" i="87"/>
  <c r="S21" i="87"/>
  <c r="W21" i="87"/>
  <c r="U25" i="87"/>
  <c r="S9" i="87"/>
  <c r="W9" i="87"/>
  <c r="S11" i="87"/>
  <c r="W11" i="87"/>
  <c r="U12" i="87"/>
  <c r="W13" i="87"/>
  <c r="U14" i="87"/>
  <c r="U15" i="87"/>
  <c r="U17" i="87"/>
  <c r="U19" i="87"/>
  <c r="U21" i="87"/>
  <c r="AB23" i="87"/>
  <c r="U23" i="87"/>
  <c r="AA27" i="87"/>
  <c r="S27" i="87"/>
  <c r="AB34" i="87"/>
  <c r="U34" i="87"/>
  <c r="AC37" i="87"/>
  <c r="W27" i="87"/>
  <c r="U28" i="87"/>
  <c r="S29" i="87"/>
  <c r="W29" i="87"/>
  <c r="U30" i="87"/>
  <c r="S31" i="87"/>
  <c r="W31" i="87"/>
  <c r="U32" i="87"/>
  <c r="S33" i="87"/>
  <c r="W33" i="87"/>
  <c r="S34" i="87"/>
  <c r="U35" i="87"/>
  <c r="S36" i="87"/>
  <c r="W36" i="87"/>
  <c r="S38" i="87"/>
  <c r="W38" i="87"/>
  <c r="U39" i="87"/>
  <c r="S40" i="87"/>
  <c r="W40" i="87"/>
  <c r="U41" i="87"/>
  <c r="S42" i="87"/>
  <c r="W42" i="87"/>
  <c r="U43" i="87"/>
  <c r="S44" i="87"/>
  <c r="W44" i="87"/>
  <c r="U45" i="87"/>
  <c r="S46" i="87"/>
  <c r="W46" i="87"/>
  <c r="U47" i="87"/>
  <c r="S25" i="87"/>
  <c r="W25" i="87"/>
  <c r="S28" i="87"/>
  <c r="W28" i="87"/>
  <c r="S30" i="87"/>
  <c r="W30" i="87"/>
  <c r="U31" i="87"/>
  <c r="S32" i="87"/>
  <c r="W32" i="87"/>
  <c r="U33" i="87"/>
  <c r="S35" i="87"/>
  <c r="U36" i="87"/>
  <c r="U38" i="87"/>
  <c r="S39" i="87"/>
  <c r="W39" i="87"/>
  <c r="S41" i="87"/>
  <c r="W41" i="87"/>
  <c r="U42" i="87"/>
  <c r="S43" i="87"/>
  <c r="W43" i="87"/>
  <c r="U44" i="87"/>
  <c r="S45" i="87"/>
  <c r="W45" i="87"/>
  <c r="U46" i="87"/>
  <c r="S47" i="87"/>
  <c r="W47" i="87"/>
  <c r="S8" i="86"/>
  <c r="W8" i="86"/>
  <c r="S9" i="86"/>
  <c r="W9" i="86"/>
  <c r="U10" i="86"/>
  <c r="S11" i="86"/>
  <c r="W11" i="86"/>
  <c r="U12" i="86"/>
  <c r="S13" i="86"/>
  <c r="W13" i="86"/>
  <c r="U14" i="86"/>
  <c r="U15" i="86"/>
  <c r="U17" i="86"/>
  <c r="AA17" i="86"/>
  <c r="S21" i="86"/>
  <c r="U9" i="86"/>
  <c r="W10" i="86"/>
  <c r="U11" i="86"/>
  <c r="S12" i="86"/>
  <c r="W12" i="86"/>
  <c r="U13" i="86"/>
  <c r="S14" i="86"/>
  <c r="W14" i="86"/>
  <c r="W15" i="86"/>
  <c r="W17" i="86"/>
  <c r="S19" i="86"/>
  <c r="W21" i="86"/>
  <c r="AB34" i="86"/>
  <c r="U34" i="86"/>
  <c r="AC37" i="86"/>
  <c r="W37" i="86"/>
  <c r="U19" i="86"/>
  <c r="U21" i="86"/>
  <c r="U23" i="86"/>
  <c r="W25" i="86"/>
  <c r="U27" i="86"/>
  <c r="S28" i="86"/>
  <c r="W28" i="86"/>
  <c r="U29" i="86"/>
  <c r="S30" i="86"/>
  <c r="W30" i="86"/>
  <c r="U31" i="86"/>
  <c r="S32" i="86"/>
  <c r="W32" i="86"/>
  <c r="U33" i="86"/>
  <c r="S35" i="86"/>
  <c r="W35" i="86"/>
  <c r="U36" i="86"/>
  <c r="S37" i="86"/>
  <c r="S39" i="86"/>
  <c r="W39" i="86"/>
  <c r="U40" i="86"/>
  <c r="W41" i="86"/>
  <c r="U42" i="86"/>
  <c r="S43" i="86"/>
  <c r="W43" i="86"/>
  <c r="U44" i="86"/>
  <c r="S45" i="86"/>
  <c r="W45" i="86"/>
  <c r="S46" i="86"/>
  <c r="W23" i="86"/>
  <c r="U25" i="86"/>
  <c r="S27" i="86"/>
  <c r="W27" i="86"/>
  <c r="U28" i="86"/>
  <c r="S29" i="86"/>
  <c r="W29" i="86"/>
  <c r="U30" i="86"/>
  <c r="S31" i="86"/>
  <c r="W31" i="86"/>
  <c r="U32" i="86"/>
  <c r="S33" i="86"/>
  <c r="W33" i="86"/>
  <c r="S34" i="86"/>
  <c r="W34" i="86"/>
  <c r="U35" i="86"/>
  <c r="S36" i="86"/>
  <c r="W36" i="86"/>
  <c r="U37" i="86"/>
  <c r="W38" i="86"/>
  <c r="U39" i="86"/>
  <c r="S40" i="86"/>
  <c r="W40" i="86"/>
  <c r="U41" i="86"/>
  <c r="S42" i="86"/>
  <c r="W42" i="86"/>
  <c r="U43" i="86"/>
  <c r="S44" i="86"/>
  <c r="W44" i="86"/>
  <c r="U45" i="86"/>
  <c r="W46" i="86"/>
  <c r="U47" i="86"/>
  <c r="U46" i="86"/>
  <c r="S47" i="86"/>
  <c r="W47" i="86"/>
  <c r="C28" i="84"/>
  <c r="C70" i="84" s="1"/>
  <c r="H88" i="86" l="1"/>
  <c r="I88" i="86" s="1"/>
  <c r="J88" i="86" s="1"/>
  <c r="K88" i="86" s="1"/>
  <c r="L88" i="86" s="1"/>
  <c r="M88" i="86" s="1"/>
  <c r="F25" i="86"/>
  <c r="S15" i="86"/>
  <c r="S10" i="86"/>
  <c r="U40" i="87"/>
  <c r="S37" i="87"/>
  <c r="S38" i="86"/>
  <c r="S23" i="86"/>
  <c r="U29" i="87"/>
  <c r="U37" i="87"/>
  <c r="W34" i="87"/>
  <c r="S23" i="87"/>
  <c r="U27" i="87"/>
  <c r="S13" i="87"/>
  <c r="U10" i="87"/>
  <c r="S41" i="86"/>
  <c r="U38" i="86"/>
  <c r="W35" i="87"/>
  <c r="C32" i="90"/>
  <c r="D124" i="90"/>
  <c r="D125" i="90" s="1"/>
  <c r="H110" i="90"/>
  <c r="D124" i="89"/>
  <c r="D125" i="89" s="1"/>
  <c r="H110" i="89"/>
  <c r="C32" i="89"/>
  <c r="AA25" i="86" l="1"/>
  <c r="S25" i="86"/>
  <c r="C35" i="90"/>
  <c r="F118" i="90" s="1"/>
  <c r="H118" i="90"/>
  <c r="C35" i="89"/>
  <c r="F118" i="89" s="1"/>
  <c r="H118" i="89"/>
  <c r="C34" i="90" l="1"/>
  <c r="D118" i="90" s="1"/>
  <c r="D119" i="90" s="1"/>
  <c r="C104" i="90"/>
  <c r="H119" i="90"/>
  <c r="H101" i="90"/>
  <c r="F119" i="90"/>
  <c r="C34" i="89"/>
  <c r="D118" i="89" s="1"/>
  <c r="D119" i="89" s="1"/>
  <c r="C104" i="89"/>
  <c r="H119" i="89"/>
  <c r="H101" i="89"/>
  <c r="F119" i="89"/>
  <c r="H107" i="90" l="1"/>
  <c r="D45" i="90"/>
  <c r="M48" i="90"/>
  <c r="H107" i="89"/>
  <c r="D45" i="89"/>
  <c r="M48" i="89"/>
  <c r="D122" i="90" l="1"/>
  <c r="D123" i="90" s="1"/>
  <c r="M49" i="90"/>
  <c r="C64" i="90"/>
  <c r="D55" i="90"/>
  <c r="M53" i="90" s="1"/>
  <c r="D122" i="89"/>
  <c r="D123" i="89" s="1"/>
  <c r="M49" i="89"/>
  <c r="C64" i="89"/>
  <c r="D55" i="89"/>
  <c r="M53" i="89" s="1"/>
  <c r="L66" i="90" l="1"/>
  <c r="M66" i="90" s="1"/>
  <c r="L65" i="90"/>
  <c r="M65" i="90" s="1"/>
  <c r="L64" i="90"/>
  <c r="M64" i="90" s="1"/>
  <c r="L68" i="90"/>
  <c r="M68" i="90" s="1"/>
  <c r="L67" i="90"/>
  <c r="M67" i="90" s="1"/>
  <c r="L63" i="90"/>
  <c r="M63" i="90" s="1"/>
  <c r="M69" i="90" s="1"/>
  <c r="N69" i="90" s="1"/>
  <c r="L66" i="89"/>
  <c r="M66" i="89" s="1"/>
  <c r="L65" i="89"/>
  <c r="M65" i="89" s="1"/>
  <c r="L64" i="89"/>
  <c r="M64" i="89" s="1"/>
  <c r="L68" i="89"/>
  <c r="M68" i="89" s="1"/>
  <c r="L67" i="89"/>
  <c r="M67" i="89" s="1"/>
  <c r="L63" i="89"/>
  <c r="M63" i="89" s="1"/>
  <c r="M69" i="89" s="1"/>
  <c r="N69" i="89" s="1"/>
  <c r="B131" i="83" l="1"/>
  <c r="B129" i="83"/>
  <c r="J46" i="83" s="1"/>
  <c r="AC46" i="83" s="1"/>
  <c r="B127" i="83"/>
  <c r="E126" i="83"/>
  <c r="F126" i="83" s="1"/>
  <c r="G126" i="83" s="1"/>
  <c r="D126" i="83"/>
  <c r="E124" i="83"/>
  <c r="F124" i="83" s="1"/>
  <c r="G124" i="83" s="1"/>
  <c r="H124" i="83" s="1"/>
  <c r="I124" i="83" s="1"/>
  <c r="J124" i="83" s="1"/>
  <c r="K124" i="83" s="1"/>
  <c r="L124" i="83" s="1"/>
  <c r="M124" i="83" s="1"/>
  <c r="D124" i="83"/>
  <c r="E120" i="83"/>
  <c r="F120" i="83" s="1"/>
  <c r="G120" i="83" s="1"/>
  <c r="H120" i="83" s="1"/>
  <c r="I120" i="83" s="1"/>
  <c r="J120" i="83" s="1"/>
  <c r="K120" i="83" s="1"/>
  <c r="L120" i="83" s="1"/>
  <c r="M120" i="83" s="1"/>
  <c r="D120" i="83"/>
  <c r="E118" i="83"/>
  <c r="F118" i="83" s="1"/>
  <c r="G118" i="83" s="1"/>
  <c r="D118"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J32" i="83" s="1"/>
  <c r="AC32" i="83" s="1"/>
  <c r="B97" i="83"/>
  <c r="B95" i="83"/>
  <c r="B93" i="83"/>
  <c r="E92" i="83"/>
  <c r="F92" i="83" s="1"/>
  <c r="G92" i="83" s="1"/>
  <c r="H92" i="83" s="1"/>
  <c r="I92" i="83" s="1"/>
  <c r="J92" i="83" s="1"/>
  <c r="K92" i="83" s="1"/>
  <c r="L92" i="83" s="1"/>
  <c r="M92" i="83" s="1"/>
  <c r="D92" i="83"/>
  <c r="B91" i="83"/>
  <c r="D90" i="83"/>
  <c r="E90" i="83" s="1"/>
  <c r="F90" i="83" s="1"/>
  <c r="G90" i="83" s="1"/>
  <c r="H90" i="83" s="1"/>
  <c r="I90" i="83" s="1"/>
  <c r="J90" i="83" s="1"/>
  <c r="K90" i="83" s="1"/>
  <c r="L90" i="83" s="1"/>
  <c r="M90" i="83" s="1"/>
  <c r="B89" i="83"/>
  <c r="J27" i="83" s="1"/>
  <c r="AC27" i="83" s="1"/>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F13" i="83" s="1"/>
  <c r="AA13" i="83" s="1"/>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F9" i="83" s="1"/>
  <c r="AA9" i="83" s="1"/>
  <c r="I55" i="83"/>
  <c r="J55" i="83" s="1"/>
  <c r="G55" i="83"/>
  <c r="H55" i="83" s="1"/>
  <c r="E55" i="83"/>
  <c r="F55" i="83" s="1"/>
  <c r="P50" i="83"/>
  <c r="P49" i="83"/>
  <c r="V48" i="83"/>
  <c r="T48" i="83"/>
  <c r="R48" i="83"/>
  <c r="P48" i="83"/>
  <c r="Q47" i="83"/>
  <c r="Z47" i="83" s="1"/>
  <c r="J47" i="83"/>
  <c r="AC47" i="83" s="1"/>
  <c r="H47" i="83"/>
  <c r="AB47" i="83" s="1"/>
  <c r="F47" i="83"/>
  <c r="AA47" i="83" s="1"/>
  <c r="Q46" i="83"/>
  <c r="Z46" i="83" s="1"/>
  <c r="H46" i="83"/>
  <c r="AB46" i="83" s="1"/>
  <c r="Q45" i="83"/>
  <c r="Z45" i="83" s="1"/>
  <c r="J45" i="83"/>
  <c r="AC45" i="83" s="1"/>
  <c r="H45" i="83"/>
  <c r="AB45" i="83" s="1"/>
  <c r="F45" i="83"/>
  <c r="S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F15" i="83"/>
  <c r="AA15" i="83" s="1"/>
  <c r="C15" i="83"/>
  <c r="Q14" i="83"/>
  <c r="Z14" i="83" s="1"/>
  <c r="J14" i="83"/>
  <c r="AC14" i="83" s="1"/>
  <c r="H14" i="83"/>
  <c r="AB14" i="83" s="1"/>
  <c r="F14" i="83"/>
  <c r="AA14" i="83" s="1"/>
  <c r="Q13" i="83"/>
  <c r="Z13" i="83" s="1"/>
  <c r="J13" i="83"/>
  <c r="AC13" i="83" s="1"/>
  <c r="H13" i="83"/>
  <c r="AB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J8" i="83"/>
  <c r="W8" i="83" s="1"/>
  <c r="H8" i="83"/>
  <c r="AB8" i="83" s="1"/>
  <c r="F8" i="83"/>
  <c r="S8" i="83" s="1"/>
  <c r="D2" i="83"/>
  <c r="F46" i="83" l="1"/>
  <c r="AA46" i="83" s="1"/>
  <c r="AA45" i="83"/>
  <c r="U8" i="83"/>
  <c r="AA8" i="83"/>
  <c r="AC8" i="83"/>
  <c r="U9" i="83"/>
  <c r="S10" i="83"/>
  <c r="W10" i="83"/>
  <c r="U11" i="83"/>
  <c r="S12" i="83"/>
  <c r="W12" i="83"/>
  <c r="U13" i="83"/>
  <c r="S14" i="83"/>
  <c r="W14" i="83"/>
  <c r="S15" i="83"/>
  <c r="W17" i="83"/>
  <c r="AA19" i="83"/>
  <c r="S19" i="83"/>
  <c r="S9" i="83"/>
  <c r="W9" i="83"/>
  <c r="U10" i="83"/>
  <c r="S11" i="83"/>
  <c r="W11" i="83"/>
  <c r="U12" i="83"/>
  <c r="S13" i="83"/>
  <c r="W13" i="83"/>
  <c r="U14" i="83"/>
  <c r="AB15" i="83"/>
  <c r="U15" i="83"/>
  <c r="W15" i="83"/>
  <c r="S17" i="83"/>
  <c r="U17" i="83"/>
  <c r="U19" i="83"/>
  <c r="U21" i="83"/>
  <c r="U23" i="83"/>
  <c r="S25" i="83"/>
  <c r="W25" i="83"/>
  <c r="U27"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U45" i="83"/>
  <c r="W19" i="83"/>
  <c r="S21" i="83"/>
  <c r="W21" i="83"/>
  <c r="S23" i="83"/>
  <c r="W23" i="83"/>
  <c r="U25"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W43" i="83"/>
  <c r="U44" i="83"/>
  <c r="W45" i="83"/>
  <c r="S46" i="83"/>
  <c r="W46" i="83"/>
  <c r="U47" i="83"/>
  <c r="U46" i="83"/>
  <c r="S47" i="83"/>
  <c r="W47" i="83"/>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59" i="82"/>
  <c r="K60" i="82"/>
  <c r="K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59" i="82"/>
  <c r="J60" i="82"/>
  <c r="J6" i="82"/>
  <c r="F66" i="82"/>
  <c r="B70" i="82" s="1"/>
  <c r="F19" i="6" s="1"/>
  <c r="S11" i="82"/>
  <c r="V11" i="82" s="1"/>
  <c r="S10" i="82"/>
  <c r="P10" i="82"/>
  <c r="P12" i="82" s="1"/>
  <c r="S9" i="82"/>
  <c r="V9" i="82" s="1"/>
  <c r="S8" i="82"/>
  <c r="V8" i="82" s="1"/>
  <c r="S7" i="82"/>
  <c r="V7" i="82" s="1"/>
  <c r="S6" i="82"/>
  <c r="V6" i="82" s="1"/>
  <c r="S5" i="82"/>
  <c r="V5" i="82" s="1"/>
  <c r="S4" i="82"/>
  <c r="V4" i="82" s="1"/>
  <c r="V10" i="82" l="1"/>
  <c r="V12" i="82" s="1"/>
  <c r="K66" i="82"/>
  <c r="B69" i="82" s="1"/>
  <c r="B71" i="82" s="1"/>
  <c r="U6" i="1" s="1"/>
  <c r="O15" i="82"/>
  <c r="F20" i="6"/>
  <c r="E2" i="93" s="1"/>
  <c r="U4" i="82"/>
  <c r="U8" i="82"/>
  <c r="U11" i="82"/>
  <c r="U7" i="82"/>
  <c r="R15" i="82"/>
  <c r="O16" i="82"/>
  <c r="U10" i="82"/>
  <c r="U6" i="82"/>
  <c r="U8" i="1" s="1"/>
  <c r="U9" i="82"/>
  <c r="U5" i="82"/>
  <c r="C4" i="81"/>
  <c r="D4" i="81" s="1"/>
  <c r="J3" i="81"/>
  <c r="G8" i="81"/>
  <c r="C3" i="81"/>
  <c r="D3" i="81" s="1"/>
  <c r="C7" i="81"/>
  <c r="C6" i="81"/>
  <c r="D6" i="81" s="1"/>
  <c r="B5" i="81"/>
  <c r="D5" i="81" s="1"/>
  <c r="B7" i="81"/>
  <c r="D7" i="81" s="1"/>
  <c r="A6" i="79"/>
  <c r="D18" i="80"/>
  <c r="E18" i="80" s="1"/>
  <c r="R16" i="80"/>
  <c r="P14" i="80"/>
  <c r="O14" i="80"/>
  <c r="N14" i="80"/>
  <c r="M14" i="80"/>
  <c r="L14" i="80"/>
  <c r="K14" i="80"/>
  <c r="J14" i="80"/>
  <c r="I14" i="80"/>
  <c r="H14" i="80"/>
  <c r="G14" i="80"/>
  <c r="F14" i="80"/>
  <c r="E14" i="80"/>
  <c r="D14" i="80"/>
  <c r="C14" i="80"/>
  <c r="B14" i="80"/>
  <c r="C12" i="80"/>
  <c r="D12" i="80" s="1"/>
  <c r="E12" i="80" s="1"/>
  <c r="P11" i="80"/>
  <c r="O11" i="80"/>
  <c r="N11" i="80"/>
  <c r="M11" i="80"/>
  <c r="L11" i="80"/>
  <c r="K11" i="80"/>
  <c r="J11" i="80"/>
  <c r="I11" i="80"/>
  <c r="H11" i="80"/>
  <c r="G11" i="80"/>
  <c r="F11" i="80"/>
  <c r="E11" i="80"/>
  <c r="D11" i="80"/>
  <c r="C11" i="80"/>
  <c r="B11" i="80"/>
  <c r="B10" i="80" s="1"/>
  <c r="C8" i="80"/>
  <c r="D8" i="80" s="1"/>
  <c r="P7" i="80"/>
  <c r="O7" i="80"/>
  <c r="N7" i="80"/>
  <c r="M7" i="80"/>
  <c r="L7" i="80"/>
  <c r="K7" i="80"/>
  <c r="J7" i="80"/>
  <c r="I7" i="80"/>
  <c r="H7" i="80"/>
  <c r="G7" i="80"/>
  <c r="F7" i="80"/>
  <c r="E7" i="80"/>
  <c r="D7" i="80"/>
  <c r="C7" i="80"/>
  <c r="B7" i="80"/>
  <c r="B6" i="80" s="1"/>
  <c r="A3"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D23" i="77" s="1"/>
  <c r="F21" i="77"/>
  <c r="F20" i="77"/>
  <c r="M19" i="77"/>
  <c r="F18" i="77"/>
  <c r="F17" i="77"/>
  <c r="F15" i="77"/>
  <c r="Q14" i="80" l="1"/>
  <c r="C6" i="80"/>
  <c r="C10" i="80"/>
  <c r="D13" i="96"/>
  <c r="D15" i="96" s="1"/>
  <c r="D19" i="96" s="1"/>
  <c r="D10" i="80"/>
  <c r="O17" i="82"/>
  <c r="C5" i="80"/>
  <c r="C4" i="80" s="1"/>
  <c r="B9" i="81"/>
  <c r="D6" i="80"/>
  <c r="D5" i="80" s="1"/>
  <c r="D4" i="80" s="1"/>
  <c r="E8" i="80"/>
  <c r="E10" i="80"/>
  <c r="F12" i="80"/>
  <c r="F18" i="80"/>
  <c r="G18" i="80" s="1"/>
  <c r="H18" i="80" s="1"/>
  <c r="I18" i="80" s="1"/>
  <c r="J18" i="80" s="1"/>
  <c r="K18" i="80" s="1"/>
  <c r="L18" i="80" s="1"/>
  <c r="M18" i="80" s="1"/>
  <c r="N18" i="80" s="1"/>
  <c r="O18" i="80" s="1"/>
  <c r="P18" i="80" s="1"/>
  <c r="B5" i="80"/>
  <c r="P61" i="78"/>
  <c r="D24" i="78"/>
  <c r="D22" i="78"/>
  <c r="J51" i="78"/>
  <c r="D24" i="77"/>
  <c r="P61" i="77"/>
  <c r="D22" i="77"/>
  <c r="J51" i="77"/>
  <c r="B4" i="80" l="1"/>
  <c r="G12" i="80"/>
  <c r="F10" i="80"/>
  <c r="F8" i="80"/>
  <c r="E6" i="80"/>
  <c r="Q18" i="80"/>
  <c r="E5" i="80" l="1"/>
  <c r="F6" i="80"/>
  <c r="F5" i="80" s="1"/>
  <c r="F4" i="80" s="1"/>
  <c r="G8" i="80"/>
  <c r="G10" i="80"/>
  <c r="H12" i="80"/>
  <c r="I5" i="71"/>
  <c r="I4" i="71" s="1"/>
  <c r="N4" i="71" s="1"/>
  <c r="L5" i="71"/>
  <c r="K5" i="71"/>
  <c r="J5" i="71"/>
  <c r="P5" i="71" l="1"/>
  <c r="K4" i="71"/>
  <c r="P4" i="71" s="1"/>
  <c r="Q5" i="71"/>
  <c r="L4" i="71"/>
  <c r="Q4" i="71" s="1"/>
  <c r="N5" i="71"/>
  <c r="O5" i="71"/>
  <c r="J4" i="71"/>
  <c r="O4" i="71" s="1"/>
  <c r="I12" i="80"/>
  <c r="H10" i="80"/>
  <c r="H8" i="80"/>
  <c r="G6" i="80"/>
  <c r="G5" i="80" s="1"/>
  <c r="G4" i="80" s="1"/>
  <c r="E4" i="80"/>
  <c r="A2" i="53"/>
  <c r="H6" i="80" l="1"/>
  <c r="I8" i="80"/>
  <c r="I10" i="80"/>
  <c r="J12" i="80"/>
  <c r="K59" i="67"/>
  <c r="P61" i="67" s="1"/>
  <c r="K59" i="15"/>
  <c r="P74" i="15" s="1"/>
  <c r="P61" i="15" l="1"/>
  <c r="H5" i="80"/>
  <c r="K12" i="80"/>
  <c r="J10" i="80"/>
  <c r="J8" i="80"/>
  <c r="I6" i="80"/>
  <c r="I5" i="80" s="1"/>
  <c r="I4" i="80" s="1"/>
  <c r="P74" i="67"/>
  <c r="D116" i="39"/>
  <c r="E116" i="39"/>
  <c r="F116" i="39"/>
  <c r="G116" i="39"/>
  <c r="H116" i="39"/>
  <c r="I116" i="39"/>
  <c r="J116" i="39"/>
  <c r="K116" i="39"/>
  <c r="L116" i="39"/>
  <c r="M116" i="39"/>
  <c r="C116" i="39"/>
  <c r="J6" i="80" l="1"/>
  <c r="J5" i="80" s="1"/>
  <c r="J4" i="80" s="1"/>
  <c r="K8" i="80"/>
  <c r="K10" i="80"/>
  <c r="L12" i="80"/>
  <c r="H4" i="80"/>
  <c r="A21" i="62"/>
  <c r="A20" i="62"/>
  <c r="A22" i="51"/>
  <c r="A21" i="51"/>
  <c r="A20" i="51"/>
  <c r="M12" i="80" l="1"/>
  <c r="L10" i="80"/>
  <c r="L8" i="80"/>
  <c r="K6" i="80"/>
  <c r="K5" i="80" s="1"/>
  <c r="K4" i="80" s="1"/>
  <c r="A14" i="62"/>
  <c r="A13" i="62"/>
  <c r="L6" i="80" l="1"/>
  <c r="L5" i="80" s="1"/>
  <c r="L4" i="80" s="1"/>
  <c r="M8" i="80"/>
  <c r="M10" i="80"/>
  <c r="N12" i="80"/>
  <c r="A19" i="62"/>
  <c r="A12" i="62"/>
  <c r="A120" i="9"/>
  <c r="H2" i="52"/>
  <c r="A1" i="52"/>
  <c r="A3" i="53"/>
  <c r="O12" i="80" l="1"/>
  <c r="N10" i="80"/>
  <c r="N8" i="80"/>
  <c r="M6" i="80"/>
  <c r="M5" i="80" s="1"/>
  <c r="M4" i="80" s="1"/>
  <c r="Q6" i="71"/>
  <c r="P6" i="71"/>
  <c r="O6" i="71"/>
  <c r="N6" i="71"/>
  <c r="N6" i="80" l="1"/>
  <c r="N5" i="80" s="1"/>
  <c r="N4" i="80" s="1"/>
  <c r="O8" i="80"/>
  <c r="O10" i="80"/>
  <c r="P12" i="80"/>
  <c r="P10" i="80" s="1"/>
  <c r="Q10" i="80" l="1"/>
  <c r="P8" i="80"/>
  <c r="P6" i="80" s="1"/>
  <c r="O6" i="80"/>
  <c r="O5" i="80" s="1"/>
  <c r="O4" i="80" s="1"/>
  <c r="A15" i="51"/>
  <c r="E7" i="76"/>
  <c r="B13" i="76"/>
  <c r="E12" i="76"/>
  <c r="E11" i="76"/>
  <c r="E8" i="76"/>
  <c r="B9" i="76"/>
  <c r="B7" i="76"/>
  <c r="E9" i="76"/>
  <c r="B12" i="76"/>
  <c r="B8" i="76"/>
  <c r="B10" i="76"/>
  <c r="B11" i="76"/>
  <c r="E13" i="76"/>
  <c r="E10" i="76"/>
  <c r="P5" i="80" l="1"/>
  <c r="Q6" i="80"/>
  <c r="C76" i="9"/>
  <c r="P4" i="80" l="1"/>
  <c r="Q4" i="80" s="1"/>
  <c r="Q5" i="80"/>
  <c r="I107" i="40"/>
  <c r="K6" i="4" l="1"/>
  <c r="N56" i="90" l="1"/>
  <c r="N56" i="89"/>
  <c r="M56" i="90"/>
  <c r="M56" i="89"/>
  <c r="K56" i="90"/>
  <c r="K56" i="89"/>
  <c r="J56" i="90"/>
  <c r="J57" i="90" s="1"/>
  <c r="J59" i="90" s="1"/>
  <c r="J61" i="90" s="1"/>
  <c r="J56" i="89"/>
  <c r="J57" i="89" s="1"/>
  <c r="J59" i="89" s="1"/>
  <c r="J61" i="89"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3" i="73"/>
  <c r="F5" i="73"/>
  <c r="F4" i="73"/>
  <c r="D6" i="73"/>
  <c r="I1" i="73" l="1"/>
  <c r="B39" i="1" s="1"/>
  <c r="D4" i="73"/>
  <c r="D5" i="73"/>
  <c r="D3" i="73"/>
  <c r="D7" i="73"/>
  <c r="E20" i="100" l="1"/>
  <c r="F11" i="88"/>
  <c r="M11" i="88"/>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100" l="1"/>
  <c r="N17" i="100"/>
  <c r="O17" i="100"/>
  <c r="M17" i="100"/>
  <c r="G20" i="100" s="1"/>
  <c r="C53" i="88"/>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N21" i="71"/>
  <c r="B22" i="71" s="1"/>
  <c r="B23" i="71" s="1"/>
  <c r="B24" i="71" s="1"/>
  <c r="S24"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P16" i="71"/>
  <c r="O16" i="71"/>
  <c r="N16" i="71"/>
  <c r="Q15" i="71"/>
  <c r="P15" i="71"/>
  <c r="O15" i="71"/>
  <c r="N15" i="71"/>
  <c r="Q14" i="7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AB14" i="71" l="1"/>
  <c r="AB16" i="71"/>
  <c r="E27" i="71"/>
  <c r="E28" i="71" s="1"/>
  <c r="U28" i="71" s="1"/>
  <c r="AB15" i="71"/>
  <c r="B35" i="71"/>
  <c r="B36" i="71" s="1"/>
  <c r="S36" i="71" s="1"/>
  <c r="B47" i="71"/>
  <c r="AB10" i="71"/>
  <c r="AB11" i="71"/>
  <c r="AB12" i="71"/>
  <c r="Y14" i="71"/>
  <c r="Z14" i="71" s="1"/>
  <c r="Y15" i="71"/>
  <c r="Z15" i="71" s="1"/>
  <c r="Y16" i="71"/>
  <c r="Z16" i="71" s="1"/>
  <c r="Y10" i="71"/>
  <c r="Z10" i="71" s="1"/>
  <c r="Y12" i="71"/>
  <c r="Z12" i="71" s="1"/>
  <c r="Y11" i="71"/>
  <c r="Z11" i="71" s="1"/>
  <c r="B59" i="71"/>
  <c r="B5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M19" i="100" l="1"/>
  <c r="M19" i="43"/>
  <c r="C6" i="7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C22" i="20"/>
  <c r="AO12" i="1"/>
  <c r="AO13" i="1"/>
  <c r="AO11" i="1"/>
  <c r="AO10" i="1"/>
  <c r="B75" i="100" l="1"/>
  <c r="B55" i="100"/>
  <c r="B66" i="100"/>
  <c r="B86" i="43"/>
  <c r="B86" i="100"/>
  <c r="B11" i="70"/>
  <c r="B13" i="70"/>
  <c r="B12" i="70"/>
  <c r="B10" i="70"/>
  <c r="B75" i="43"/>
  <c r="B55" i="43"/>
  <c r="B66" i="43"/>
  <c r="C25" i="40"/>
  <c r="C29" i="39"/>
  <c r="S25" i="40"/>
  <c r="S29" i="39"/>
  <c r="S18" i="36"/>
  <c r="U18" i="36"/>
  <c r="S21" i="34"/>
  <c r="F94" i="40"/>
  <c r="G94" i="40" s="1"/>
  <c r="H25" i="40"/>
  <c r="J25" i="40"/>
  <c r="F103" i="39"/>
  <c r="G103" i="39" s="1"/>
  <c r="H29"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A290" i="3" s="1"/>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A211" i="3" s="1"/>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A459" i="3" s="1"/>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s="1"/>
  <c r="F23" i="15"/>
  <c r="D24" i="15"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AA40" i="40" s="1"/>
  <c r="Q39" i="40"/>
  <c r="Z39" i="40"/>
  <c r="Q38" i="40"/>
  <c r="Z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H35" i="35" s="1"/>
  <c r="B97" i="35"/>
  <c r="H34" i="35" s="1"/>
  <c r="AB34" i="35" s="1"/>
  <c r="B77" i="35"/>
  <c r="B75" i="35"/>
  <c r="J24" i="35" s="1"/>
  <c r="AC24" i="35" s="1"/>
  <c r="B73" i="35"/>
  <c r="H23" i="35" s="1"/>
  <c r="U23" i="35" s="1"/>
  <c r="B57" i="35"/>
  <c r="B61" i="35"/>
  <c r="B59" i="35"/>
  <c r="H12" i="35" s="1"/>
  <c r="B131" i="34"/>
  <c r="B129" i="34"/>
  <c r="B127" i="34"/>
  <c r="B99" i="34"/>
  <c r="B97" i="34"/>
  <c r="H31" i="34" s="1"/>
  <c r="B95" i="34"/>
  <c r="B93" i="34"/>
  <c r="B75" i="34"/>
  <c r="B73" i="34"/>
  <c r="B71" i="34"/>
  <c r="B130" i="33"/>
  <c r="B128" i="33"/>
  <c r="B126" i="33"/>
  <c r="J44" i="33" s="1"/>
  <c r="AC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H27" i="34" s="1"/>
  <c r="AB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J15" i="33" s="1"/>
  <c r="AC1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7" i="39" s="1"/>
  <c r="C20" i="20"/>
  <c r="C18" i="20"/>
  <c r="C17" i="20"/>
  <c r="C16" i="20"/>
  <c r="C17" i="39" s="1"/>
  <c r="C15" i="20"/>
  <c r="C15" i="39"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B96" i="2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5" i="39"/>
  <c r="S45" i="39" s="1"/>
  <c r="J44" i="39"/>
  <c r="AC44" i="39" s="1"/>
  <c r="H36" i="39"/>
  <c r="AB36" i="39" s="1"/>
  <c r="J35" i="39"/>
  <c r="AC35" i="39" s="1"/>
  <c r="U9" i="39"/>
  <c r="W25" i="37"/>
  <c r="W31" i="37"/>
  <c r="F29" i="36"/>
  <c r="AA29" i="36" s="1"/>
  <c r="W8" i="36"/>
  <c r="F16" i="36"/>
  <c r="AA16" i="36" s="1"/>
  <c r="S30" i="36"/>
  <c r="AA31" i="36"/>
  <c r="W31" i="36"/>
  <c r="H22" i="35"/>
  <c r="AB22" i="35" s="1"/>
  <c r="AC27" i="35"/>
  <c r="W34" i="35"/>
  <c r="W22" i="35"/>
  <c r="S31" i="35"/>
  <c r="U34" i="35"/>
  <c r="F36" i="34"/>
  <c r="J35" i="34"/>
  <c r="W9" i="34"/>
  <c r="U34" i="34"/>
  <c r="H39" i="33"/>
  <c r="AB39" i="33" s="1"/>
  <c r="F26" i="33"/>
  <c r="AA26" i="33" s="1"/>
  <c r="S40" i="33"/>
  <c r="H39" i="37"/>
  <c r="AB39" i="37" s="1"/>
  <c r="S27" i="35"/>
  <c r="F11" i="40"/>
  <c r="AA11" i="40" s="1"/>
  <c r="H11" i="40"/>
  <c r="AB11" i="40" s="1"/>
  <c r="W8" i="40"/>
  <c r="AC9" i="40"/>
  <c r="U9" i="40"/>
  <c r="S40" i="40"/>
  <c r="U34" i="40"/>
  <c r="U40" i="40"/>
  <c r="F42" i="39"/>
  <c r="AA42" i="39" s="1"/>
  <c r="F41" i="39"/>
  <c r="S41" i="39" s="1"/>
  <c r="H40" i="39"/>
  <c r="AB40" i="39" s="1"/>
  <c r="H39" i="39"/>
  <c r="U39" i="39" s="1"/>
  <c r="S38"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5" i="39"/>
  <c r="C21" i="39"/>
  <c r="H11" i="39"/>
  <c r="S40" i="39"/>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H15" i="34"/>
  <c r="AB15" i="34" s="1"/>
  <c r="S9" i="34"/>
  <c r="W8" i="34"/>
  <c r="F41" i="33"/>
  <c r="AA41" i="33" s="1"/>
  <c r="E113" i="33"/>
  <c r="J19" i="33"/>
  <c r="AC19"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W32" i="36" s="1"/>
  <c r="J11" i="36"/>
  <c r="AC11" i="36" s="1"/>
  <c r="H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F44" i="33"/>
  <c r="S44" i="33" s="1"/>
  <c r="J46" i="33"/>
  <c r="AC46" i="33" s="1"/>
  <c r="F46" i="33"/>
  <c r="AA46" i="33" s="1"/>
  <c r="H46" i="33"/>
  <c r="AB46" i="33" s="1"/>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F14" i="39"/>
  <c r="H14" i="39"/>
  <c r="AB14" i="39" s="1"/>
  <c r="F12" i="40"/>
  <c r="S12" i="40" s="1"/>
  <c r="H12" i="40"/>
  <c r="H30" i="40"/>
  <c r="AB30" i="40" s="1"/>
  <c r="F33" i="40"/>
  <c r="AA33" i="40" s="1"/>
  <c r="H33" i="40"/>
  <c r="U33" i="40" s="1"/>
  <c r="J35" i="40"/>
  <c r="J37" i="40"/>
  <c r="AC37" i="40" s="1"/>
  <c r="H13" i="40"/>
  <c r="U13" i="40" s="1"/>
  <c r="J13" i="40"/>
  <c r="W13" i="40" s="1"/>
  <c r="F13" i="40"/>
  <c r="AA13" i="40" s="1"/>
  <c r="F27" i="37"/>
  <c r="AA27" i="37" s="1"/>
  <c r="F13" i="39"/>
  <c r="J13" i="39"/>
  <c r="W13" i="39" s="1"/>
  <c r="H13" i="39"/>
  <c r="H14" i="40"/>
  <c r="AB14" i="40" s="1"/>
  <c r="J14" i="40"/>
  <c r="W14" i="40" s="1"/>
  <c r="F14" i="40"/>
  <c r="J27" i="37"/>
  <c r="AC27" i="37" s="1"/>
  <c r="AA13" i="35"/>
  <c r="U46" i="33"/>
  <c r="AA14" i="33"/>
  <c r="J36" i="37"/>
  <c r="AC36" i="37" s="1"/>
  <c r="J10" i="36"/>
  <c r="AC10" i="36" s="1"/>
  <c r="W11" i="36"/>
  <c r="W11" i="35"/>
  <c r="AC30" i="34"/>
  <c r="AA14" i="34"/>
  <c r="S45" i="33"/>
  <c r="AB31" i="33"/>
  <c r="U31" i="33"/>
  <c r="AC28" i="21"/>
  <c r="S44" i="34"/>
  <c r="BA586" i="3"/>
  <c r="F17" i="21"/>
  <c r="AA17" i="21" s="1"/>
  <c r="H17" i="21"/>
  <c r="AB17" i="21" s="1"/>
  <c r="F15" i="21"/>
  <c r="S15" i="21" s="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2" i="3"/>
  <c r="AZ582" i="3" s="1"/>
  <c r="BA580" i="3"/>
  <c r="BA578" i="3"/>
  <c r="AZ578" i="3" s="1"/>
  <c r="BA576" i="3"/>
  <c r="BA574" i="3"/>
  <c r="AZ574" i="3"/>
  <c r="BA572" i="3"/>
  <c r="AZ572" i="3"/>
  <c r="BA570" i="3"/>
  <c r="AZ570" i="3"/>
  <c r="BA568" i="3"/>
  <c r="BA566" i="3"/>
  <c r="AZ566" i="3"/>
  <c r="BA564" i="3"/>
  <c r="BA562" i="3"/>
  <c r="AZ562" i="3" s="1"/>
  <c r="BA560" i="3"/>
  <c r="AZ560" i="3" s="1"/>
  <c r="BA558" i="3"/>
  <c r="BA556" i="3"/>
  <c r="AZ556" i="3" s="1"/>
  <c r="BA554" i="3"/>
  <c r="AZ554" i="3" s="1"/>
  <c r="BA552" i="3"/>
  <c r="BA548" i="3"/>
  <c r="BA546" i="3"/>
  <c r="AZ546" i="3" s="1"/>
  <c r="BA544" i="3"/>
  <c r="AZ544" i="3" s="1"/>
  <c r="BA542" i="3"/>
  <c r="BA540" i="3"/>
  <c r="BA538" i="3"/>
  <c r="BA536" i="3"/>
  <c r="AZ536" i="3" s="1"/>
  <c r="BA534" i="3"/>
  <c r="AZ534" i="3" s="1"/>
  <c r="BA532" i="3"/>
  <c r="BA530" i="3"/>
  <c r="BA528" i="3"/>
  <c r="AZ528" i="3" s="1"/>
  <c r="BA526" i="3"/>
  <c r="AZ526" i="3" s="1"/>
  <c r="BA524" i="3"/>
  <c r="AZ524" i="3" s="1"/>
  <c r="BA522" i="3"/>
  <c r="BA520" i="3"/>
  <c r="BA518" i="3"/>
  <c r="BA516" i="3"/>
  <c r="AZ516" i="3" s="1"/>
  <c r="BA514" i="3"/>
  <c r="BA512" i="3"/>
  <c r="AZ512" i="3" s="1"/>
  <c r="BA510" i="3"/>
  <c r="BA508" i="3"/>
  <c r="BA506" i="3"/>
  <c r="BA504" i="3"/>
  <c r="AZ504" i="3" s="1"/>
  <c r="BA502" i="3"/>
  <c r="AZ502" i="3" s="1"/>
  <c r="BA500" i="3"/>
  <c r="AZ500" i="3" s="1"/>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c r="BQ577" i="3"/>
  <c r="BL577" i="3" s="1"/>
  <c r="BQ575" i="3"/>
  <c r="BL575" i="3" s="1"/>
  <c r="BQ573" i="3"/>
  <c r="BL573" i="3" s="1"/>
  <c r="AZ573" i="3" s="1"/>
  <c r="BQ571" i="3"/>
  <c r="BL571" i="3" s="1"/>
  <c r="BQ569" i="3"/>
  <c r="BL569" i="3" s="1"/>
  <c r="AZ569" i="3" s="1"/>
  <c r="BQ567" i="3"/>
  <c r="BL567" i="3"/>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AZ508" i="3" s="1"/>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A12" i="35"/>
  <c r="AB28" i="37"/>
  <c r="U33" i="37"/>
  <c r="W26" i="37"/>
  <c r="AC8" i="37"/>
  <c r="U26" i="37"/>
  <c r="AB13" i="34"/>
  <c r="W37" i="34"/>
  <c r="AB37" i="34"/>
  <c r="AC36" i="34"/>
  <c r="AA13" i="33"/>
  <c r="AC31" i="33"/>
  <c r="W44" i="33"/>
  <c r="U19" i="21"/>
  <c r="W44" i="21"/>
  <c r="U2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H5" i="3"/>
  <c r="C12" i="43"/>
  <c r="H19" i="40"/>
  <c r="U19" i="40" s="1"/>
  <c r="F88" i="40"/>
  <c r="G88" i="40" s="1"/>
  <c r="F19" i="40"/>
  <c r="S19" i="40" s="1"/>
  <c r="AC13" i="40"/>
  <c r="W23" i="39"/>
  <c r="AC43" i="39"/>
  <c r="W43" i="39"/>
  <c r="AB44" i="39"/>
  <c r="U44" i="39"/>
  <c r="G101" i="39"/>
  <c r="H37" i="39"/>
  <c r="AB37" i="39" s="1"/>
  <c r="AC37" i="39"/>
  <c r="W37" i="39"/>
  <c r="H25" i="39"/>
  <c r="AB25" i="39" s="1"/>
  <c r="J25" i="39"/>
  <c r="F25" i="39"/>
  <c r="AA25" i="39" s="1"/>
  <c r="F15" i="39"/>
  <c r="AA15" i="39" s="1"/>
  <c r="H15" i="39"/>
  <c r="U15" i="39" s="1"/>
  <c r="J15" i="39"/>
  <c r="W15" i="39" s="1"/>
  <c r="H41" i="39"/>
  <c r="W27" i="39"/>
  <c r="AB34" i="39"/>
  <c r="U40" i="39"/>
  <c r="AA41" i="39"/>
  <c r="W9" i="39"/>
  <c r="W8" i="39"/>
  <c r="J19" i="40"/>
  <c r="AC19" i="40" s="1"/>
  <c r="J50" i="40"/>
  <c r="B54" i="72"/>
  <c r="H103" i="9"/>
  <c r="D8" i="53" s="1"/>
  <c r="B16" i="53"/>
  <c r="B33" i="72" s="1"/>
  <c r="C7" i="37"/>
  <c r="C7" i="34"/>
  <c r="C7" i="36"/>
  <c r="A118" i="9"/>
  <c r="A4" i="52"/>
  <c r="B41" i="72" s="1"/>
  <c r="J11" i="39"/>
  <c r="W11" i="39" s="1"/>
  <c r="F11" i="39"/>
  <c r="AA11" i="39" s="1"/>
  <c r="A12" i="52"/>
  <c r="B56" i="72" s="1"/>
  <c r="G4" i="4"/>
  <c r="I4" i="4"/>
  <c r="K5" i="4"/>
  <c r="B47" i="48" s="1"/>
  <c r="A2" i="9"/>
  <c r="N2" i="43"/>
  <c r="BL549" i="3"/>
  <c r="AZ549" i="3" s="1"/>
  <c r="AZ494" i="3"/>
  <c r="AZ514" i="3"/>
  <c r="AZ522" i="3"/>
  <c r="AZ530" i="3"/>
  <c r="G546" i="3"/>
  <c r="G524" i="3"/>
  <c r="G303" i="3"/>
  <c r="BL304" i="3"/>
  <c r="G305" i="3"/>
  <c r="BL306" i="3"/>
  <c r="AZ306" i="3" s="1"/>
  <c r="BA308" i="3"/>
  <c r="BA309" i="3"/>
  <c r="BL309" i="3"/>
  <c r="G310" i="3"/>
  <c r="BA311" i="3"/>
  <c r="G319" i="3"/>
  <c r="BL320" i="3"/>
  <c r="G321" i="3"/>
  <c r="BL322" i="3"/>
  <c r="AZ322" i="3" s="1"/>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AZ362" i="3" s="1"/>
  <c r="G370" i="3"/>
  <c r="BL371" i="3"/>
  <c r="G372" i="3"/>
  <c r="BL373" i="3"/>
  <c r="BA375" i="3"/>
  <c r="BA376" i="3"/>
  <c r="BL376" i="3"/>
  <c r="G377" i="3"/>
  <c r="BA378" i="3"/>
  <c r="BL378" i="3"/>
  <c r="G379" i="3"/>
  <c r="BA380" i="3"/>
  <c r="G388" i="3"/>
  <c r="BL389" i="3"/>
  <c r="G390" i="3"/>
  <c r="BL391" i="3"/>
  <c r="BA393" i="3"/>
  <c r="BA394" i="3"/>
  <c r="BL394" i="3"/>
  <c r="AZ394" i="3" s="1"/>
  <c r="G113" i="3"/>
  <c r="BA115" i="3"/>
  <c r="AZ115" i="3" s="1"/>
  <c r="BL116" i="3"/>
  <c r="G117" i="3"/>
  <c r="BA119" i="3"/>
  <c r="BL120" i="3"/>
  <c r="AZ120" i="3" s="1"/>
  <c r="G121" i="3"/>
  <c r="BA123" i="3"/>
  <c r="BL124" i="3"/>
  <c r="AZ124" i="3" s="1"/>
  <c r="G125" i="3"/>
  <c r="BA127" i="3"/>
  <c r="BL128" i="3"/>
  <c r="G129" i="3"/>
  <c r="BA131" i="3"/>
  <c r="BL132" i="3"/>
  <c r="G133" i="3"/>
  <c r="BA135" i="3"/>
  <c r="BL136" i="3"/>
  <c r="G137" i="3"/>
  <c r="BA139" i="3"/>
  <c r="BL140" i="3"/>
  <c r="AZ140" i="3" s="1"/>
  <c r="G141" i="3"/>
  <c r="BA143" i="3"/>
  <c r="BL144" i="3"/>
  <c r="AZ144" i="3" s="1"/>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AZ187" i="3" s="1"/>
  <c r="BL188" i="3"/>
  <c r="G189" i="3"/>
  <c r="BA191" i="3"/>
  <c r="AZ191" i="3"/>
  <c r="BL192" i="3"/>
  <c r="G193" i="3"/>
  <c r="BA195" i="3"/>
  <c r="BL196" i="3"/>
  <c r="G197" i="3"/>
  <c r="BA199" i="3"/>
  <c r="BL200" i="3"/>
  <c r="G201" i="3"/>
  <c r="BA203" i="3"/>
  <c r="BL204" i="3"/>
  <c r="AZ136" i="3"/>
  <c r="AZ128" i="3"/>
  <c r="G534" i="3"/>
  <c r="G530" i="3"/>
  <c r="G522" i="3"/>
  <c r="G516" i="3"/>
  <c r="G512" i="3"/>
  <c r="G506" i="3"/>
  <c r="G498" i="3"/>
  <c r="G494" i="3"/>
  <c r="G16" i="3"/>
  <c r="G15" i="3"/>
  <c r="BA304" i="3"/>
  <c r="AZ304" i="3" s="1"/>
  <c r="BA305" i="3"/>
  <c r="AZ305" i="3" s="1"/>
  <c r="BL305" i="3"/>
  <c r="G306" i="3"/>
  <c r="G309" i="3"/>
  <c r="BL310" i="3"/>
  <c r="BA312" i="3"/>
  <c r="AZ312" i="3"/>
  <c r="BA313" i="3"/>
  <c r="BL313" i="3"/>
  <c r="G314" i="3"/>
  <c r="G317" i="3"/>
  <c r="BL318" i="3"/>
  <c r="AZ318" i="3" s="1"/>
  <c r="BA320" i="3"/>
  <c r="AZ320" i="3" s="1"/>
  <c r="BA321" i="3"/>
  <c r="BL321" i="3"/>
  <c r="G322" i="3"/>
  <c r="G325" i="3"/>
  <c r="BL326" i="3"/>
  <c r="BA328" i="3"/>
  <c r="AZ328" i="3" s="1"/>
  <c r="BA329" i="3"/>
  <c r="BL329" i="3"/>
  <c r="G330" i="3"/>
  <c r="G333" i="3"/>
  <c r="BL334" i="3"/>
  <c r="BA336" i="3"/>
  <c r="BA337" i="3"/>
  <c r="BL337" i="3"/>
  <c r="G338" i="3"/>
  <c r="G341" i="3"/>
  <c r="BA342" i="3"/>
  <c r="AZ342" i="3" s="1"/>
  <c r="BL342" i="3"/>
  <c r="BA344" i="3"/>
  <c r="BL344" i="3"/>
  <c r="AZ344" i="3" s="1"/>
  <c r="BA346" i="3"/>
  <c r="BA347" i="3"/>
  <c r="AZ347" i="3" s="1"/>
  <c r="BL347" i="3"/>
  <c r="G350" i="3"/>
  <c r="BA351" i="3"/>
  <c r="AZ351" i="3" s="1"/>
  <c r="BL351" i="3"/>
  <c r="G352" i="3"/>
  <c r="G354" i="3"/>
  <c r="BA355" i="3"/>
  <c r="BA356" i="3"/>
  <c r="BL356" i="3"/>
  <c r="AZ356" i="3" s="1"/>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AZ390" i="3" s="1"/>
  <c r="BL390" i="3"/>
  <c r="G391" i="3"/>
  <c r="G394" i="3"/>
  <c r="BA16" i="3"/>
  <c r="AZ16" i="3" s="1"/>
  <c r="BL303" i="3"/>
  <c r="G304" i="3"/>
  <c r="BA306" i="3"/>
  <c r="BL307" i="3"/>
  <c r="G308" i="3"/>
  <c r="BA310" i="3"/>
  <c r="BL311" i="3"/>
  <c r="G312" i="3"/>
  <c r="BA314" i="3"/>
  <c r="BL315" i="3"/>
  <c r="G316" i="3"/>
  <c r="BA318" i="3"/>
  <c r="BL319" i="3"/>
  <c r="AZ319" i="3" s="1"/>
  <c r="G320" i="3"/>
  <c r="BA322" i="3"/>
  <c r="BL323" i="3"/>
  <c r="G324" i="3"/>
  <c r="BA326" i="3"/>
  <c r="AZ326" i="3" s="1"/>
  <c r="BL327" i="3"/>
  <c r="AZ327" i="3" s="1"/>
  <c r="G328" i="3"/>
  <c r="BA330" i="3"/>
  <c r="AZ330" i="3" s="1"/>
  <c r="BL331" i="3"/>
  <c r="G332" i="3"/>
  <c r="BA334" i="3"/>
  <c r="AZ334" i="3" s="1"/>
  <c r="BL335" i="3"/>
  <c r="G336" i="3"/>
  <c r="BA338" i="3"/>
  <c r="AZ338" i="3" s="1"/>
  <c r="BL339" i="3"/>
  <c r="G340" i="3"/>
  <c r="BL343" i="3"/>
  <c r="AZ343" i="3" s="1"/>
  <c r="G344" i="3"/>
  <c r="G348" i="3"/>
  <c r="G355" i="3"/>
  <c r="G342" i="3"/>
  <c r="BL345" i="3"/>
  <c r="G346" i="3"/>
  <c r="BL349" i="3"/>
  <c r="BL352" i="3"/>
  <c r="G353" i="3"/>
  <c r="BA357" i="3"/>
  <c r="AZ357" i="3" s="1"/>
  <c r="BL358" i="3"/>
  <c r="AZ358" i="3"/>
  <c r="G359" i="3"/>
  <c r="BA361" i="3"/>
  <c r="AZ361" i="3" s="1"/>
  <c r="BL362" i="3"/>
  <c r="G363" i="3"/>
  <c r="BA365" i="3"/>
  <c r="BL366" i="3"/>
  <c r="G367" i="3"/>
  <c r="BA369" i="3"/>
  <c r="AZ369" i="3" s="1"/>
  <c r="BL370" i="3"/>
  <c r="AZ370" i="3" s="1"/>
  <c r="G371" i="3"/>
  <c r="BA373" i="3"/>
  <c r="BL374" i="3"/>
  <c r="G375" i="3"/>
  <c r="BA377" i="3"/>
  <c r="BA379" i="3"/>
  <c r="AZ379" i="3"/>
  <c r="BL380" i="3"/>
  <c r="G381" i="3"/>
  <c r="BA383" i="3"/>
  <c r="BL384" i="3"/>
  <c r="AZ384" i="3" s="1"/>
  <c r="G385" i="3"/>
  <c r="BA387" i="3"/>
  <c r="AZ387" i="3" s="1"/>
  <c r="BL388" i="3"/>
  <c r="G389" i="3"/>
  <c r="BA391" i="3"/>
  <c r="BL392" i="3"/>
  <c r="G393" i="3"/>
  <c r="BO5" i="3"/>
  <c r="BJ5" i="3"/>
  <c r="BH5" i="3"/>
  <c r="BF5" i="3"/>
  <c r="BD5" i="3"/>
  <c r="AZ309" i="3"/>
  <c r="AC5" i="3"/>
  <c r="AZ506" i="3"/>
  <c r="G548" i="3"/>
  <c r="G538" i="3"/>
  <c r="G520" i="3"/>
  <c r="G502" i="3"/>
  <c r="BS5" i="3"/>
  <c r="BP5" i="3"/>
  <c r="BN5" i="3"/>
  <c r="BK5" i="3"/>
  <c r="BG5" i="3"/>
  <c r="G17" i="3"/>
  <c r="BA17" i="3"/>
  <c r="BT5" i="3"/>
  <c r="AZ352" i="3"/>
  <c r="AZ360" i="3"/>
  <c r="BA15" i="3"/>
  <c r="BB5" i="3"/>
  <c r="BR5" i="3"/>
  <c r="AZ499" i="3"/>
  <c r="G509" i="3"/>
  <c r="AZ382" i="3"/>
  <c r="AZ493" i="3"/>
  <c r="U36" i="40"/>
  <c r="N4" i="43"/>
  <c r="F36" i="43"/>
  <c r="F81" i="43"/>
  <c r="H83" i="43" s="1"/>
  <c r="H113" i="43"/>
  <c r="N7" i="43"/>
  <c r="F70" i="43"/>
  <c r="H73" i="43" s="1"/>
  <c r="M6" i="43"/>
  <c r="M11" i="43"/>
  <c r="E17" i="43"/>
  <c r="F39" i="43"/>
  <c r="I17" i="43"/>
  <c r="F35" i="43"/>
  <c r="J17" i="43"/>
  <c r="F6" i="1"/>
  <c r="U17" i="39"/>
  <c r="S14" i="35"/>
  <c r="U43" i="21"/>
  <c r="U35" i="21"/>
  <c r="AC35" i="21"/>
  <c r="U10" i="21"/>
  <c r="F48" i="9"/>
  <c r="O52" i="9" s="1"/>
  <c r="AC11" i="39"/>
  <c r="AZ563" i="3"/>
  <c r="AZ501" i="3"/>
  <c r="W44" i="34"/>
  <c r="AC44" i="34"/>
  <c r="U13" i="37"/>
  <c r="AA12" i="40"/>
  <c r="J37" i="33"/>
  <c r="W37" i="33" s="1"/>
  <c r="AC17" i="34"/>
  <c r="J34" i="33"/>
  <c r="W34" i="33" s="1"/>
  <c r="F33" i="34"/>
  <c r="S33" i="34" s="1"/>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AZ303" i="3" l="1"/>
  <c r="AA14" i="40"/>
  <c r="S14" i="40"/>
  <c r="U11" i="36"/>
  <c r="AB11" i="36"/>
  <c r="S29" i="35"/>
  <c r="AA29" i="35"/>
  <c r="AA15" i="34"/>
  <c r="S15" i="34"/>
  <c r="W28" i="34"/>
  <c r="AC28" i="34"/>
  <c r="AZ373" i="3"/>
  <c r="AZ355" i="3"/>
  <c r="AZ313" i="3"/>
  <c r="AZ495" i="3"/>
  <c r="AZ567" i="3"/>
  <c r="AB31" i="34"/>
  <c r="U31" i="34"/>
  <c r="AB35" i="35"/>
  <c r="U35" i="35"/>
  <c r="AZ346" i="3"/>
  <c r="AZ575" i="3"/>
  <c r="AC47" i="34"/>
  <c r="W47" i="34"/>
  <c r="W46" i="21"/>
  <c r="AC46" i="21"/>
  <c r="U12" i="35"/>
  <c r="AB12" i="35"/>
  <c r="U27" i="37"/>
  <c r="AB27" i="37"/>
  <c r="AZ391" i="3"/>
  <c r="AZ380" i="3"/>
  <c r="AZ308" i="3"/>
  <c r="AC35" i="40"/>
  <c r="W35" i="40"/>
  <c r="AB12" i="40"/>
  <c r="U12" i="40"/>
  <c r="AC14" i="39"/>
  <c r="W14" i="39"/>
  <c r="U11" i="35"/>
  <c r="AB11" i="35"/>
  <c r="AZ527" i="3"/>
  <c r="AZ535" i="3"/>
  <c r="AZ543" i="3"/>
  <c r="AA44" i="33"/>
  <c r="U30" i="37"/>
  <c r="F35" i="39"/>
  <c r="F25" i="37"/>
  <c r="AA25" i="37" s="1"/>
  <c r="G570" i="3"/>
  <c r="C30" i="9"/>
  <c r="BA399" i="3"/>
  <c r="BA402" i="3"/>
  <c r="BL402" i="3"/>
  <c r="AZ402" i="3" s="1"/>
  <c r="G406" i="3"/>
  <c r="BA415" i="3"/>
  <c r="BA418" i="3"/>
  <c r="BL418" i="3"/>
  <c r="AZ418" i="3" s="1"/>
  <c r="BA425" i="3"/>
  <c r="BL425" i="3"/>
  <c r="BL429" i="3"/>
  <c r="BL430" i="3"/>
  <c r="BL432" i="3"/>
  <c r="BA437" i="3"/>
  <c r="BL440" i="3"/>
  <c r="BA444" i="3"/>
  <c r="AZ444" i="3" s="1"/>
  <c r="BA454" i="3"/>
  <c r="S40" i="21"/>
  <c r="U33" i="33"/>
  <c r="W28" i="36"/>
  <c r="F39" i="37"/>
  <c r="G586" i="3"/>
  <c r="BL398" i="3"/>
  <c r="G402" i="3"/>
  <c r="BA405" i="3"/>
  <c r="BA408" i="3"/>
  <c r="BL408" i="3"/>
  <c r="BL413" i="3"/>
  <c r="BL414" i="3"/>
  <c r="BL416" i="3"/>
  <c r="G418" i="3"/>
  <c r="BA421" i="3"/>
  <c r="BL424" i="3"/>
  <c r="G425" i="3"/>
  <c r="G427" i="3"/>
  <c r="G428" i="3"/>
  <c r="G429" i="3"/>
  <c r="G432" i="3"/>
  <c r="BA435" i="3"/>
  <c r="BL436" i="3"/>
  <c r="BL439" i="3"/>
  <c r="G440" i="3"/>
  <c r="BA442" i="3"/>
  <c r="BA443" i="3"/>
  <c r="BA446" i="3"/>
  <c r="BL446" i="3"/>
  <c r="BA453" i="3"/>
  <c r="BA457" i="3"/>
  <c r="AZ325" i="3"/>
  <c r="AZ520" i="3"/>
  <c r="AZ510" i="3"/>
  <c r="AZ576" i="3"/>
  <c r="S31" i="39"/>
  <c r="W37" i="37"/>
  <c r="AZ377" i="3"/>
  <c r="AZ311" i="3"/>
  <c r="AZ378" i="3"/>
  <c r="AZ376" i="3"/>
  <c r="S42" i="39"/>
  <c r="AB33" i="40"/>
  <c r="U11" i="33"/>
  <c r="U39" i="37"/>
  <c r="U14" i="40"/>
  <c r="AZ503" i="3"/>
  <c r="AZ509" i="3"/>
  <c r="AZ513" i="3"/>
  <c r="AZ523" i="3"/>
  <c r="AZ531" i="3"/>
  <c r="AZ539" i="3"/>
  <c r="AZ547" i="3"/>
  <c r="AZ559" i="3"/>
  <c r="AZ571" i="3"/>
  <c r="AZ577" i="3"/>
  <c r="AZ583" i="3"/>
  <c r="AZ558" i="3"/>
  <c r="AZ564" i="3"/>
  <c r="AZ580" i="3"/>
  <c r="AB11" i="21"/>
  <c r="W29" i="33"/>
  <c r="AC13" i="36"/>
  <c r="J14" i="37"/>
  <c r="F14" i="37"/>
  <c r="H32" i="36"/>
  <c r="AB32" i="36" s="1"/>
  <c r="AB17" i="34"/>
  <c r="W33" i="37"/>
  <c r="AC34" i="36"/>
  <c r="U8" i="33"/>
  <c r="S34" i="39"/>
  <c r="W31" i="40"/>
  <c r="AA9" i="40"/>
  <c r="S9" i="33"/>
  <c r="S34" i="34"/>
  <c r="W40" i="39"/>
  <c r="G585" i="3"/>
  <c r="BL585" i="3"/>
  <c r="H12" i="33"/>
  <c r="J23" i="35"/>
  <c r="G582" i="3"/>
  <c r="G556" i="3"/>
  <c r="G542" i="3"/>
  <c r="G400" i="3"/>
  <c r="BL400" i="3"/>
  <c r="BL404" i="3"/>
  <c r="BL407" i="3"/>
  <c r="G408" i="3"/>
  <c r="G410" i="3"/>
  <c r="G411" i="3"/>
  <c r="G412" i="3"/>
  <c r="G416" i="3"/>
  <c r="BA419" i="3"/>
  <c r="BL420" i="3"/>
  <c r="BL423" i="3"/>
  <c r="G424" i="3"/>
  <c r="BA428" i="3"/>
  <c r="BA432" i="3"/>
  <c r="G438" i="3"/>
  <c r="G439" i="3"/>
  <c r="BL444" i="3"/>
  <c r="G446" i="3"/>
  <c r="G448" i="3"/>
  <c r="G449" i="3"/>
  <c r="BA450" i="3"/>
  <c r="BL453" i="3"/>
  <c r="BL460" i="3"/>
  <c r="BA461" i="3"/>
  <c r="BL463" i="3"/>
  <c r="G464" i="3"/>
  <c r="BA465" i="3"/>
  <c r="AZ465" i="3" s="1"/>
  <c r="G470" i="3"/>
  <c r="BL473" i="3"/>
  <c r="BA478" i="3"/>
  <c r="BA157" i="3"/>
  <c r="AZ157" i="3" s="1"/>
  <c r="G44" i="3"/>
  <c r="BL479" i="3"/>
  <c r="G484" i="3"/>
  <c r="BA323" i="3"/>
  <c r="AZ323" i="3" s="1"/>
  <c r="BL324" i="3"/>
  <c r="AZ324" i="3" s="1"/>
  <c r="BL375" i="3"/>
  <c r="AZ375" i="3" s="1"/>
  <c r="BL393" i="3"/>
  <c r="AZ393" i="3" s="1"/>
  <c r="BL397" i="3"/>
  <c r="BL216" i="3"/>
  <c r="BA220" i="3"/>
  <c r="BL223" i="3"/>
  <c r="BA224" i="3"/>
  <c r="BL227" i="3"/>
  <c r="AZ227" i="3" s="1"/>
  <c r="BL231" i="3"/>
  <c r="BA238" i="3"/>
  <c r="BA245" i="3"/>
  <c r="BL248" i="3"/>
  <c r="BA251" i="3"/>
  <c r="BA255" i="3"/>
  <c r="AZ255" i="3" s="1"/>
  <c r="BL257" i="3"/>
  <c r="BA266" i="3"/>
  <c r="BL275" i="3"/>
  <c r="BA279" i="3"/>
  <c r="BL282" i="3"/>
  <c r="BA291" i="3"/>
  <c r="AZ291" i="3" s="1"/>
  <c r="BA293" i="3"/>
  <c r="BL295" i="3"/>
  <c r="BA297" i="3"/>
  <c r="BL299" i="3"/>
  <c r="BL114" i="3"/>
  <c r="BA117" i="3"/>
  <c r="BL118" i="3"/>
  <c r="BL129" i="3"/>
  <c r="BL137" i="3"/>
  <c r="BL142" i="3"/>
  <c r="BA145" i="3"/>
  <c r="BA149" i="3"/>
  <c r="G34" i="3"/>
  <c r="BL459" i="3"/>
  <c r="AZ459" i="3" s="1"/>
  <c r="BA463" i="3"/>
  <c r="BL466" i="3"/>
  <c r="BA467" i="3"/>
  <c r="BL471" i="3"/>
  <c r="BA476" i="3"/>
  <c r="BL478" i="3"/>
  <c r="BL490" i="3"/>
  <c r="BL492" i="3"/>
  <c r="BA303" i="3"/>
  <c r="BL314" i="3"/>
  <c r="AZ314" i="3" s="1"/>
  <c r="G315" i="3"/>
  <c r="BA317" i="3"/>
  <c r="AZ317" i="3" s="1"/>
  <c r="G329" i="3"/>
  <c r="BL333" i="3"/>
  <c r="AZ333" i="3" s="1"/>
  <c r="BA335" i="3"/>
  <c r="AZ335" i="3" s="1"/>
  <c r="BA339" i="3"/>
  <c r="AZ339" i="3" s="1"/>
  <c r="BL348" i="3"/>
  <c r="G349" i="3"/>
  <c r="BA350" i="3"/>
  <c r="AZ350" i="3" s="1"/>
  <c r="BL354" i="3"/>
  <c r="BL365" i="3"/>
  <c r="AZ365" i="3" s="1"/>
  <c r="G366" i="3"/>
  <c r="BA368" i="3"/>
  <c r="AZ368" i="3" s="1"/>
  <c r="BA374" i="3"/>
  <c r="AZ374" i="3" s="1"/>
  <c r="G384" i="3"/>
  <c r="BL385" i="3"/>
  <c r="BA386" i="3"/>
  <c r="BA396" i="3"/>
  <c r="BA210" i="3"/>
  <c r="G215" i="3"/>
  <c r="G216" i="3"/>
  <c r="BL219" i="3"/>
  <c r="BL222" i="3"/>
  <c r="BL225" i="3"/>
  <c r="G227" i="3"/>
  <c r="G229" i="3"/>
  <c r="G230" i="3"/>
  <c r="G231" i="3"/>
  <c r="BL238" i="3"/>
  <c r="BA244" i="3"/>
  <c r="AZ244" i="3" s="1"/>
  <c r="BL247" i="3"/>
  <c r="G248" i="3"/>
  <c r="BA250" i="3"/>
  <c r="BL253" i="3"/>
  <c r="BA254" i="3"/>
  <c r="BL256" i="3"/>
  <c r="AZ256" i="3" s="1"/>
  <c r="BA271" i="3"/>
  <c r="G275" i="3"/>
  <c r="BL286" i="3"/>
  <c r="G288" i="3"/>
  <c r="BA289" i="3"/>
  <c r="BL294" i="3"/>
  <c r="BL298" i="3"/>
  <c r="BL113" i="3"/>
  <c r="G114" i="3"/>
  <c r="BA116" i="3"/>
  <c r="AZ116" i="3" s="1"/>
  <c r="BA122" i="3"/>
  <c r="BA134" i="3"/>
  <c r="BA138" i="3"/>
  <c r="AZ138" i="3" s="1"/>
  <c r="BL141" i="3"/>
  <c r="AZ141" i="3" s="1"/>
  <c r="BL147" i="3"/>
  <c r="AZ147" i="3" s="1"/>
  <c r="BA148" i="3"/>
  <c r="AZ148" i="3" s="1"/>
  <c r="G158" i="3"/>
  <c r="G162" i="3"/>
  <c r="BL45" i="3"/>
  <c r="G58" i="3"/>
  <c r="G458" i="3"/>
  <c r="G459" i="3"/>
  <c r="G461" i="3"/>
  <c r="G462" i="3"/>
  <c r="BA462" i="3"/>
  <c r="BL464" i="3"/>
  <c r="G465" i="3"/>
  <c r="G466" i="3"/>
  <c r="BA466" i="3"/>
  <c r="BL470" i="3"/>
  <c r="G471" i="3"/>
  <c r="BL481" i="3"/>
  <c r="BA486" i="3"/>
  <c r="BL489" i="3"/>
  <c r="G490" i="3"/>
  <c r="BA307" i="3"/>
  <c r="AZ307" i="3" s="1"/>
  <c r="BL308" i="3"/>
  <c r="G323" i="3"/>
  <c r="BL346" i="3"/>
  <c r="BA353" i="3"/>
  <c r="BL359" i="3"/>
  <c r="AZ359" i="3" s="1"/>
  <c r="G374" i="3"/>
  <c r="BA385" i="3"/>
  <c r="G208" i="3"/>
  <c r="BA209" i="3"/>
  <c r="BL212" i="3"/>
  <c r="G213" i="3"/>
  <c r="BA216" i="3"/>
  <c r="BA218" i="3"/>
  <c r="G221" i="3"/>
  <c r="BL221" i="3"/>
  <c r="G225" i="3"/>
  <c r="BA230" i="3"/>
  <c r="BL233" i="3"/>
  <c r="BA234" i="3"/>
  <c r="BL237" i="3"/>
  <c r="G238" i="3"/>
  <c r="G240" i="3"/>
  <c r="G241" i="3"/>
  <c r="G242" i="3"/>
  <c r="BA243" i="3"/>
  <c r="BL245" i="3"/>
  <c r="G247" i="3"/>
  <c r="BL252" i="3"/>
  <c r="BL255" i="3"/>
  <c r="BA257" i="3"/>
  <c r="AZ257" i="3" s="1"/>
  <c r="BA259" i="3"/>
  <c r="BA262" i="3"/>
  <c r="BL267" i="3"/>
  <c r="BA270" i="3"/>
  <c r="BL272" i="3"/>
  <c r="G273" i="3"/>
  <c r="BA277" i="3"/>
  <c r="BL279" i="3"/>
  <c r="BA282" i="3"/>
  <c r="BL285" i="3"/>
  <c r="G286" i="3"/>
  <c r="BA288" i="3"/>
  <c r="BL291" i="3"/>
  <c r="G294" i="3"/>
  <c r="G298" i="3"/>
  <c r="BA299" i="3"/>
  <c r="AZ299" i="3" s="1"/>
  <c r="BL302" i="3"/>
  <c r="BL121" i="3"/>
  <c r="BL123" i="3"/>
  <c r="AZ123" i="3" s="1"/>
  <c r="BA125" i="3"/>
  <c r="G128" i="3"/>
  <c r="G132" i="3"/>
  <c r="BA133" i="3"/>
  <c r="BA153" i="3"/>
  <c r="AZ153" i="3" s="1"/>
  <c r="BL154" i="3"/>
  <c r="BA182" i="3"/>
  <c r="G167" i="3"/>
  <c r="BL173" i="3"/>
  <c r="G175" i="3"/>
  <c r="BA177" i="3"/>
  <c r="BL179" i="3"/>
  <c r="AZ179" i="3" s="1"/>
  <c r="BA180" i="3"/>
  <c r="AZ180" i="3" s="1"/>
  <c r="BL183" i="3"/>
  <c r="AZ183" i="3" s="1"/>
  <c r="G184" i="3"/>
  <c r="BA186" i="3"/>
  <c r="G195" i="3"/>
  <c r="BA196" i="3"/>
  <c r="AZ196" i="3" s="1"/>
  <c r="BL199" i="3"/>
  <c r="AZ199" i="3" s="1"/>
  <c r="G203" i="3"/>
  <c r="BL206" i="3"/>
  <c r="G207" i="3"/>
  <c r="G21" i="3"/>
  <c r="G22" i="3"/>
  <c r="BA24" i="3"/>
  <c r="BL27" i="3"/>
  <c r="BA28" i="3"/>
  <c r="AZ28" i="3" s="1"/>
  <c r="BA30" i="3"/>
  <c r="G33" i="3"/>
  <c r="BA35" i="3"/>
  <c r="BL37" i="3"/>
  <c r="G38" i="3"/>
  <c r="G43" i="3"/>
  <c r="BA47" i="3"/>
  <c r="BL50" i="3"/>
  <c r="G52" i="3"/>
  <c r="BL56" i="3"/>
  <c r="G57" i="3"/>
  <c r="BA59" i="3"/>
  <c r="BA88" i="3"/>
  <c r="BL91" i="3"/>
  <c r="AZ91" i="3" s="1"/>
  <c r="G100" i="43"/>
  <c r="BA63" i="3"/>
  <c r="BL68" i="3"/>
  <c r="G69" i="3"/>
  <c r="BA70" i="3"/>
  <c r="BA71" i="3"/>
  <c r="BL73" i="3"/>
  <c r="BL78" i="3"/>
  <c r="G79" i="3"/>
  <c r="BA80" i="3"/>
  <c r="BL83" i="3"/>
  <c r="G84" i="3"/>
  <c r="G85" i="3"/>
  <c r="BA86" i="3"/>
  <c r="AZ86" i="3" s="1"/>
  <c r="BL90" i="3"/>
  <c r="G91" i="3"/>
  <c r="G99" i="3"/>
  <c r="BL99" i="3"/>
  <c r="BA101" i="3"/>
  <c r="G106" i="3"/>
  <c r="BA108" i="3"/>
  <c r="G112" i="3"/>
  <c r="BL151" i="3"/>
  <c r="AZ151" i="3" s="1"/>
  <c r="BA154" i="3"/>
  <c r="AZ154" i="3" s="1"/>
  <c r="BA158" i="3"/>
  <c r="BL159" i="3"/>
  <c r="AZ159" i="3" s="1"/>
  <c r="BA165" i="3"/>
  <c r="BA173" i="3"/>
  <c r="AZ173" i="3" s="1"/>
  <c r="BA178" i="3"/>
  <c r="G182" i="3"/>
  <c r="BL186" i="3"/>
  <c r="BA194" i="3"/>
  <c r="BA198" i="3"/>
  <c r="G202" i="3"/>
  <c r="BA20" i="3"/>
  <c r="BL23" i="3"/>
  <c r="BA26" i="3"/>
  <c r="BA31" i="3"/>
  <c r="BA41" i="3"/>
  <c r="BA46" i="3"/>
  <c r="BL48" i="3"/>
  <c r="BA50" i="3"/>
  <c r="AZ50" i="3" s="1"/>
  <c r="BL53" i="3"/>
  <c r="G55" i="3"/>
  <c r="BA58" i="3"/>
  <c r="BL60" i="3"/>
  <c r="BA61" i="3"/>
  <c r="AZ61" i="3" s="1"/>
  <c r="BA65" i="3"/>
  <c r="BA73" i="3"/>
  <c r="BA76" i="3"/>
  <c r="BL82" i="3"/>
  <c r="BA84" i="3"/>
  <c r="AZ84" i="3" s="1"/>
  <c r="BA95" i="3"/>
  <c r="BL97" i="3"/>
  <c r="BA99" i="3"/>
  <c r="AZ99" i="3" s="1"/>
  <c r="BL110" i="3"/>
  <c r="BA132" i="3"/>
  <c r="AZ132" i="3" s="1"/>
  <c r="BL134" i="3"/>
  <c r="BA137" i="3"/>
  <c r="AZ137" i="3" s="1"/>
  <c r="G140" i="3"/>
  <c r="BA142" i="3"/>
  <c r="BL146" i="3"/>
  <c r="AZ146" i="3" s="1"/>
  <c r="G151" i="3"/>
  <c r="BL157" i="3"/>
  <c r="G159" i="3"/>
  <c r="BA161" i="3"/>
  <c r="BL163" i="3"/>
  <c r="AZ163" i="3" s="1"/>
  <c r="BA164" i="3"/>
  <c r="AZ164" i="3" s="1"/>
  <c r="BL167" i="3"/>
  <c r="AZ167" i="3" s="1"/>
  <c r="G168" i="3"/>
  <c r="BA170" i="3"/>
  <c r="AZ170" i="3" s="1"/>
  <c r="BA174" i="3"/>
  <c r="BL175" i="3"/>
  <c r="AZ175" i="3" s="1"/>
  <c r="G176" i="3"/>
  <c r="BA181" i="3"/>
  <c r="G186" i="3"/>
  <c r="BA197" i="3"/>
  <c r="BA201" i="3"/>
  <c r="BA202" i="3"/>
  <c r="BL203" i="3"/>
  <c r="AZ203" i="3" s="1"/>
  <c r="G204" i="3"/>
  <c r="BL18" i="3"/>
  <c r="BA19" i="3"/>
  <c r="AZ19" i="3" s="1"/>
  <c r="BL22" i="3"/>
  <c r="G23" i="3"/>
  <c r="BL28" i="3"/>
  <c r="BL33" i="3"/>
  <c r="AZ33" i="3" s="1"/>
  <c r="BL34" i="3"/>
  <c r="G35" i="3"/>
  <c r="G36" i="3"/>
  <c r="BL43" i="3"/>
  <c r="AZ43" i="3" s="1"/>
  <c r="G47" i="3"/>
  <c r="G48" i="3"/>
  <c r="BA48" i="3"/>
  <c r="BA51" i="3"/>
  <c r="BL52" i="3"/>
  <c r="G53" i="3"/>
  <c r="BA54" i="3"/>
  <c r="BL57" i="3"/>
  <c r="AZ57" i="3" s="1"/>
  <c r="G59" i="3"/>
  <c r="G60" i="3"/>
  <c r="BA60" i="3"/>
  <c r="BL63" i="3"/>
  <c r="G66" i="3"/>
  <c r="G67" i="3"/>
  <c r="BA72" i="3"/>
  <c r="G77" i="3"/>
  <c r="G78" i="3"/>
  <c r="BL80" i="3"/>
  <c r="BL81" i="3"/>
  <c r="G82" i="3"/>
  <c r="BL86" i="3"/>
  <c r="BL87" i="3"/>
  <c r="G88" i="3"/>
  <c r="G89" i="3"/>
  <c r="BL96" i="3"/>
  <c r="BA98" i="3"/>
  <c r="BL101" i="3"/>
  <c r="G103" i="3"/>
  <c r="BA104" i="3"/>
  <c r="BA107" i="3"/>
  <c r="BL109" i="3"/>
  <c r="AZ109" i="3" s="1"/>
  <c r="BA110" i="3"/>
  <c r="AZ110" i="3" s="1"/>
  <c r="I10" i="66"/>
  <c r="I21" i="66" s="1"/>
  <c r="H86" i="43"/>
  <c r="S15" i="37"/>
  <c r="AZ345" i="3"/>
  <c r="AZ371" i="3"/>
  <c r="AZ336" i="3"/>
  <c r="AZ329" i="3"/>
  <c r="AZ321" i="3"/>
  <c r="S11" i="39"/>
  <c r="AA25" i="21"/>
  <c r="AC12" i="37"/>
  <c r="AC45" i="33"/>
  <c r="AA41" i="34"/>
  <c r="AZ565" i="3"/>
  <c r="AZ542" i="3"/>
  <c r="AZ552" i="3"/>
  <c r="U13" i="33"/>
  <c r="AB45" i="33"/>
  <c r="AB46" i="34"/>
  <c r="AB30" i="21"/>
  <c r="S28" i="34"/>
  <c r="AB23" i="34"/>
  <c r="BL586" i="3"/>
  <c r="AZ585" i="3"/>
  <c r="F12" i="34"/>
  <c r="J12" i="34"/>
  <c r="J12" i="36"/>
  <c r="H12" i="36"/>
  <c r="F12" i="36"/>
  <c r="J23" i="36"/>
  <c r="AC23" i="36" s="1"/>
  <c r="H23" i="36"/>
  <c r="AB23" i="36" s="1"/>
  <c r="W40" i="40"/>
  <c r="AC40" i="40"/>
  <c r="J27" i="34"/>
  <c r="F27" i="34"/>
  <c r="AA27" i="34" s="1"/>
  <c r="AC28" i="35"/>
  <c r="W28" i="35"/>
  <c r="AA34" i="35"/>
  <c r="S34" i="35"/>
  <c r="J9" i="36"/>
  <c r="AC9" i="36" s="1"/>
  <c r="H9" i="36"/>
  <c r="AB14" i="37"/>
  <c r="U14" i="37"/>
  <c r="H45" i="39"/>
  <c r="J45" i="39"/>
  <c r="AC32" i="40"/>
  <c r="W32" i="40"/>
  <c r="AA38" i="40"/>
  <c r="S38" i="40"/>
  <c r="F36" i="39"/>
  <c r="J36" i="39"/>
  <c r="AZ310" i="3"/>
  <c r="AZ507" i="3"/>
  <c r="AZ521" i="3"/>
  <c r="AZ553" i="3"/>
  <c r="AZ579" i="3"/>
  <c r="AZ581" i="3"/>
  <c r="AZ518" i="3"/>
  <c r="AZ538" i="3"/>
  <c r="W31" i="34"/>
  <c r="G587" i="3"/>
  <c r="E77" i="33"/>
  <c r="F77" i="33" s="1"/>
  <c r="G77" i="33" s="1"/>
  <c r="F15" i="33"/>
  <c r="AA15" i="33" s="1"/>
  <c r="H36" i="35"/>
  <c r="AB36" i="35" s="1"/>
  <c r="J36" i="35"/>
  <c r="F9" i="36"/>
  <c r="AA9" i="36" s="1"/>
  <c r="AB38" i="40"/>
  <c r="U38" i="40"/>
  <c r="J39" i="40"/>
  <c r="H39" i="40"/>
  <c r="U41" i="21"/>
  <c r="AB41" i="21"/>
  <c r="BA551" i="3"/>
  <c r="BL548" i="3"/>
  <c r="AZ548" i="3" s="1"/>
  <c r="AZ372" i="3"/>
  <c r="AZ337" i="3"/>
  <c r="U12" i="37"/>
  <c r="AZ555" i="3"/>
  <c r="AZ557" i="3"/>
  <c r="AZ532" i="3"/>
  <c r="AZ540" i="3"/>
  <c r="S11" i="36"/>
  <c r="AA34" i="21"/>
  <c r="S34" i="21"/>
  <c r="F12" i="21"/>
  <c r="J12" i="21"/>
  <c r="AC12" i="21" s="1"/>
  <c r="H12" i="21"/>
  <c r="B59" i="43"/>
  <c r="B59" i="100"/>
  <c r="B73" i="43"/>
  <c r="B52" i="100"/>
  <c r="B63" i="100"/>
  <c r="B73" i="100"/>
  <c r="B88" i="43"/>
  <c r="B88" i="100"/>
  <c r="H33" i="36"/>
  <c r="U33" i="36" s="1"/>
  <c r="J33" i="36"/>
  <c r="AB31" i="36"/>
  <c r="U31" i="36"/>
  <c r="AA34" i="40"/>
  <c r="S34" i="40"/>
  <c r="G526" i="3"/>
  <c r="C24" i="9"/>
  <c r="BC5" i="3"/>
  <c r="E12" i="6" s="1"/>
  <c r="BL399" i="3"/>
  <c r="AZ399" i="3" s="1"/>
  <c r="BL405" i="3"/>
  <c r="AZ405" i="3" s="1"/>
  <c r="BA409" i="3"/>
  <c r="AZ409" i="3" s="1"/>
  <c r="BA410" i="3"/>
  <c r="AZ410" i="3" s="1"/>
  <c r="BA411" i="3"/>
  <c r="AZ411" i="3" s="1"/>
  <c r="G414" i="3"/>
  <c r="G415" i="3"/>
  <c r="BL415" i="3"/>
  <c r="AZ415" i="3" s="1"/>
  <c r="G421" i="3"/>
  <c r="BL421" i="3"/>
  <c r="BA426" i="3"/>
  <c r="AZ426" i="3" s="1"/>
  <c r="BA427" i="3"/>
  <c r="AZ427" i="3" s="1"/>
  <c r="G430" i="3"/>
  <c r="G431" i="3"/>
  <c r="BL431" i="3"/>
  <c r="AZ431" i="3" s="1"/>
  <c r="G437" i="3"/>
  <c r="BL437" i="3"/>
  <c r="BL443" i="3"/>
  <c r="BA447" i="3"/>
  <c r="AZ447" i="3" s="1"/>
  <c r="BA448" i="3"/>
  <c r="AZ448" i="3" s="1"/>
  <c r="BL450" i="3"/>
  <c r="AZ450" i="3" s="1"/>
  <c r="G456" i="3"/>
  <c r="G457" i="3"/>
  <c r="BL457" i="3"/>
  <c r="BA460" i="3"/>
  <c r="BL462" i="3"/>
  <c r="AZ462" i="3" s="1"/>
  <c r="BL465" i="3"/>
  <c r="BA473" i="3"/>
  <c r="AZ473" i="3" s="1"/>
  <c r="G487" i="3"/>
  <c r="BA490" i="3"/>
  <c r="B71" i="43"/>
  <c r="B71" i="100"/>
  <c r="B60" i="100"/>
  <c r="B49" i="100"/>
  <c r="B81" i="43"/>
  <c r="B81" i="100"/>
  <c r="H24" i="36"/>
  <c r="AB24" i="36" s="1"/>
  <c r="F26" i="37"/>
  <c r="AA26" i="37" s="1"/>
  <c r="J38" i="40"/>
  <c r="AC38" i="40" s="1"/>
  <c r="G574" i="3"/>
  <c r="BQ5" i="3"/>
  <c r="BA398" i="3"/>
  <c r="AZ398" i="3" s="1"/>
  <c r="G401" i="3"/>
  <c r="BL401" i="3"/>
  <c r="BA404" i="3"/>
  <c r="AZ404" i="3" s="1"/>
  <c r="BL406" i="3"/>
  <c r="AZ406" i="3" s="1"/>
  <c r="BA413" i="3"/>
  <c r="BA414" i="3"/>
  <c r="AZ414" i="3" s="1"/>
  <c r="G417" i="3"/>
  <c r="BL417" i="3"/>
  <c r="BA420" i="3"/>
  <c r="AZ420" i="3" s="1"/>
  <c r="BL422" i="3"/>
  <c r="AZ422" i="3" s="1"/>
  <c r="BA429" i="3"/>
  <c r="AZ429" i="3" s="1"/>
  <c r="BA430" i="3"/>
  <c r="G433" i="3"/>
  <c r="BL433" i="3"/>
  <c r="BA436" i="3"/>
  <c r="BL438" i="3"/>
  <c r="AZ438" i="3" s="1"/>
  <c r="G445" i="3"/>
  <c r="BL445" i="3"/>
  <c r="AZ445" i="3" s="1"/>
  <c r="BL451" i="3"/>
  <c r="AZ451" i="3" s="1"/>
  <c r="BA455" i="3"/>
  <c r="AZ455" i="3" s="1"/>
  <c r="BA456" i="3"/>
  <c r="AZ456" i="3" s="1"/>
  <c r="BL458" i="3"/>
  <c r="AZ458" i="3" s="1"/>
  <c r="G469" i="3"/>
  <c r="BL469" i="3"/>
  <c r="AZ469" i="3" s="1"/>
  <c r="G478" i="3"/>
  <c r="BA479" i="3"/>
  <c r="AZ479" i="3" s="1"/>
  <c r="BA481" i="3"/>
  <c r="B70" i="43"/>
  <c r="B70" i="100"/>
  <c r="B77" i="43"/>
  <c r="B67" i="100"/>
  <c r="B56" i="100"/>
  <c r="B77" i="100"/>
  <c r="B82" i="43"/>
  <c r="B82" i="100"/>
  <c r="G566" i="3"/>
  <c r="BL550" i="3"/>
  <c r="BA550" i="3"/>
  <c r="BI5" i="3"/>
  <c r="BE5" i="3"/>
  <c r="BL15" i="3"/>
  <c r="AZ15" i="3" s="1"/>
  <c r="AZ400" i="3"/>
  <c r="AZ416" i="3"/>
  <c r="AZ432" i="3"/>
  <c r="AZ434" i="3"/>
  <c r="AZ446" i="3"/>
  <c r="AZ463" i="3"/>
  <c r="AZ466" i="3"/>
  <c r="AZ467" i="3"/>
  <c r="AZ481" i="3"/>
  <c r="BL485" i="3"/>
  <c r="B74" i="43"/>
  <c r="B65" i="100"/>
  <c r="B74" i="100"/>
  <c r="B54" i="100"/>
  <c r="B85" i="43"/>
  <c r="B85" i="100"/>
  <c r="G558" i="3"/>
  <c r="BM5" i="3"/>
  <c r="D78" i="9"/>
  <c r="D78" i="90"/>
  <c r="D78" i="89"/>
  <c r="D93" i="90"/>
  <c r="D93" i="89"/>
  <c r="BL403" i="3"/>
  <c r="AZ403" i="3" s="1"/>
  <c r="BA407" i="3"/>
  <c r="BL412" i="3"/>
  <c r="AZ412" i="3" s="1"/>
  <c r="BL419" i="3"/>
  <c r="AZ419" i="3" s="1"/>
  <c r="BA423" i="3"/>
  <c r="AZ423" i="3" s="1"/>
  <c r="BA424" i="3"/>
  <c r="AZ424" i="3" s="1"/>
  <c r="BL428" i="3"/>
  <c r="AZ428" i="3" s="1"/>
  <c r="BL435" i="3"/>
  <c r="AZ435" i="3" s="1"/>
  <c r="BA439" i="3"/>
  <c r="AZ439" i="3" s="1"/>
  <c r="BA440" i="3"/>
  <c r="AZ440" i="3" s="1"/>
  <c r="BL442" i="3"/>
  <c r="AZ442" i="3" s="1"/>
  <c r="BL449" i="3"/>
  <c r="AZ449" i="3" s="1"/>
  <c r="BA452" i="3"/>
  <c r="AZ452" i="3" s="1"/>
  <c r="BL454" i="3"/>
  <c r="AZ454" i="3" s="1"/>
  <c r="BL461" i="3"/>
  <c r="AZ461" i="3" s="1"/>
  <c r="BA470" i="3"/>
  <c r="BA471" i="3"/>
  <c r="AZ471" i="3" s="1"/>
  <c r="BA472" i="3"/>
  <c r="AZ472" i="3" s="1"/>
  <c r="BA464" i="3"/>
  <c r="G467" i="3"/>
  <c r="G468" i="3"/>
  <c r="BL468" i="3"/>
  <c r="AZ468" i="3" s="1"/>
  <c r="BA474" i="3"/>
  <c r="AZ474" i="3" s="1"/>
  <c r="BA475" i="3"/>
  <c r="AZ475" i="3" s="1"/>
  <c r="BL477" i="3"/>
  <c r="AZ477" i="3" s="1"/>
  <c r="BA482" i="3"/>
  <c r="AZ482" i="3" s="1"/>
  <c r="BA483" i="3"/>
  <c r="AZ483" i="3" s="1"/>
  <c r="G485" i="3"/>
  <c r="G486" i="3"/>
  <c r="BL486" i="3"/>
  <c r="AZ486" i="3" s="1"/>
  <c r="G311" i="3"/>
  <c r="G327" i="3"/>
  <c r="G343" i="3"/>
  <c r="G351" i="3"/>
  <c r="BA354" i="3"/>
  <c r="AZ354" i="3" s="1"/>
  <c r="BL367" i="3"/>
  <c r="G369" i="3"/>
  <c r="BL381" i="3"/>
  <c r="AZ381" i="3" s="1"/>
  <c r="BL386" i="3"/>
  <c r="AZ386" i="3" s="1"/>
  <c r="G392" i="3"/>
  <c r="BA397" i="3"/>
  <c r="AZ397" i="3" s="1"/>
  <c r="BL209" i="3"/>
  <c r="AZ209" i="3" s="1"/>
  <c r="BL215" i="3"/>
  <c r="AZ215" i="3" s="1"/>
  <c r="BA219" i="3"/>
  <c r="G222" i="3"/>
  <c r="G223" i="3"/>
  <c r="G224" i="3"/>
  <c r="BL224" i="3"/>
  <c r="BA228" i="3"/>
  <c r="AZ228" i="3" s="1"/>
  <c r="BA229" i="3"/>
  <c r="AZ229" i="3" s="1"/>
  <c r="G232" i="3"/>
  <c r="G233" i="3"/>
  <c r="G234" i="3"/>
  <c r="BL234" i="3"/>
  <c r="BA239" i="3"/>
  <c r="AZ239" i="3" s="1"/>
  <c r="BA240" i="3"/>
  <c r="AZ240" i="3" s="1"/>
  <c r="BA241" i="3"/>
  <c r="AZ241" i="3" s="1"/>
  <c r="BL243" i="3"/>
  <c r="AZ243" i="3" s="1"/>
  <c r="G253" i="3"/>
  <c r="G254" i="3"/>
  <c r="BL254" i="3"/>
  <c r="BL261" i="3"/>
  <c r="AZ261" i="3" s="1"/>
  <c r="G262" i="3"/>
  <c r="BL262" i="3"/>
  <c r="AZ262" i="3" s="1"/>
  <c r="BL273" i="3"/>
  <c r="G274" i="3"/>
  <c r="BL274" i="3"/>
  <c r="AZ274" i="3" s="1"/>
  <c r="BL480" i="3"/>
  <c r="AZ480" i="3" s="1"/>
  <c r="BA484" i="3"/>
  <c r="AZ484" i="3" s="1"/>
  <c r="BA485" i="3"/>
  <c r="BL487" i="3"/>
  <c r="AZ487" i="3" s="1"/>
  <c r="BA492" i="3"/>
  <c r="BL316" i="3"/>
  <c r="AZ316" i="3" s="1"/>
  <c r="G318" i="3"/>
  <c r="BL332" i="3"/>
  <c r="G334" i="3"/>
  <c r="AZ385" i="3"/>
  <c r="BA388" i="3"/>
  <c r="AZ388" i="3" s="1"/>
  <c r="BA392" i="3"/>
  <c r="AZ392" i="3" s="1"/>
  <c r="G395" i="3"/>
  <c r="BL395" i="3"/>
  <c r="G211" i="3"/>
  <c r="BL211" i="3"/>
  <c r="AZ211" i="3" s="1"/>
  <c r="G217" i="3"/>
  <c r="BL217" i="3"/>
  <c r="AZ217" i="3" s="1"/>
  <c r="BA221" i="3"/>
  <c r="AZ221" i="3" s="1"/>
  <c r="BA222" i="3"/>
  <c r="AZ222" i="3" s="1"/>
  <c r="BA223" i="3"/>
  <c r="G226" i="3"/>
  <c r="BL226" i="3"/>
  <c r="BA231" i="3"/>
  <c r="AZ231" i="3" s="1"/>
  <c r="BA232" i="3"/>
  <c r="AZ232" i="3" s="1"/>
  <c r="BA233" i="3"/>
  <c r="AZ233" i="3" s="1"/>
  <c r="BL235" i="3"/>
  <c r="AZ235" i="3" s="1"/>
  <c r="G245" i="3"/>
  <c r="G246" i="3"/>
  <c r="BL246" i="3"/>
  <c r="AZ246" i="3" s="1"/>
  <c r="BA252" i="3"/>
  <c r="AZ252" i="3" s="1"/>
  <c r="BA253" i="3"/>
  <c r="AZ253" i="3" s="1"/>
  <c r="G256" i="3"/>
  <c r="G257" i="3"/>
  <c r="G258" i="3"/>
  <c r="BL258" i="3"/>
  <c r="BL260" i="3"/>
  <c r="G261" i="3"/>
  <c r="BL263" i="3"/>
  <c r="AZ263" i="3" s="1"/>
  <c r="BL266" i="3"/>
  <c r="BA278" i="3"/>
  <c r="BL280" i="3"/>
  <c r="G282" i="3"/>
  <c r="BA283" i="3"/>
  <c r="AZ283" i="3" s="1"/>
  <c r="AZ332" i="3"/>
  <c r="BA348" i="3"/>
  <c r="AZ348" i="3" s="1"/>
  <c r="BA349" i="3"/>
  <c r="AZ349" i="3" s="1"/>
  <c r="BA366" i="3"/>
  <c r="AZ366" i="3" s="1"/>
  <c r="AZ395" i="3"/>
  <c r="BL396" i="3"/>
  <c r="AZ210" i="3"/>
  <c r="BL213" i="3"/>
  <c r="AZ216" i="3"/>
  <c r="BL218" i="3"/>
  <c r="AZ218" i="3" s="1"/>
  <c r="AZ225" i="3"/>
  <c r="AZ226" i="3"/>
  <c r="BL250" i="3"/>
  <c r="AZ250" i="3" s="1"/>
  <c r="AZ258" i="3"/>
  <c r="BA273" i="3"/>
  <c r="BA275" i="3"/>
  <c r="AZ275" i="3" s="1"/>
  <c r="AZ282" i="3"/>
  <c r="BL476" i="3"/>
  <c r="AZ476" i="3" s="1"/>
  <c r="BA488" i="3"/>
  <c r="AZ488" i="3" s="1"/>
  <c r="BA489" i="3"/>
  <c r="AZ489" i="3" s="1"/>
  <c r="BL491" i="3"/>
  <c r="AZ491" i="3" s="1"/>
  <c r="BA315" i="3"/>
  <c r="AZ315" i="3" s="1"/>
  <c r="BA331" i="3"/>
  <c r="AZ331" i="3" s="1"/>
  <c r="BL353" i="3"/>
  <c r="AZ353" i="3" s="1"/>
  <c r="G362" i="3"/>
  <c r="G378" i="3"/>
  <c r="BL383" i="3"/>
  <c r="AZ383" i="3" s="1"/>
  <c r="BL208" i="3"/>
  <c r="AZ208" i="3" s="1"/>
  <c r="BA212" i="3"/>
  <c r="BL214" i="3"/>
  <c r="AZ214" i="3" s="1"/>
  <c r="G220" i="3"/>
  <c r="BL220" i="3"/>
  <c r="AZ220" i="3" s="1"/>
  <c r="BL230" i="3"/>
  <c r="AZ230" i="3" s="1"/>
  <c r="BA236" i="3"/>
  <c r="AZ236" i="3" s="1"/>
  <c r="BA237" i="3"/>
  <c r="AZ237" i="3" s="1"/>
  <c r="BL242" i="3"/>
  <c r="AZ242" i="3" s="1"/>
  <c r="BA247" i="3"/>
  <c r="AZ247" i="3" s="1"/>
  <c r="BA248" i="3"/>
  <c r="AZ248" i="3" s="1"/>
  <c r="BA249" i="3"/>
  <c r="AZ249" i="3" s="1"/>
  <c r="BL251" i="3"/>
  <c r="AZ251" i="3" s="1"/>
  <c r="BA260" i="3"/>
  <c r="AZ267" i="3"/>
  <c r="BA268" i="3"/>
  <c r="AZ268" i="3" s="1"/>
  <c r="BA269" i="3"/>
  <c r="AZ269" i="3" s="1"/>
  <c r="BA272" i="3"/>
  <c r="AZ272" i="3" s="1"/>
  <c r="BL278" i="3"/>
  <c r="BA280" i="3"/>
  <c r="AZ280" i="3" s="1"/>
  <c r="BA287" i="3"/>
  <c r="BL284" i="3"/>
  <c r="AZ284" i="3" s="1"/>
  <c r="G290" i="3"/>
  <c r="BL290" i="3"/>
  <c r="BA294" i="3"/>
  <c r="AZ294" i="3" s="1"/>
  <c r="BA295" i="3"/>
  <c r="BA296" i="3"/>
  <c r="AZ296" i="3" s="1"/>
  <c r="G299" i="3"/>
  <c r="G300" i="3"/>
  <c r="BL300" i="3"/>
  <c r="AZ300" i="3" s="1"/>
  <c r="BA126" i="3"/>
  <c r="AZ126" i="3" s="1"/>
  <c r="BA129" i="3"/>
  <c r="AZ129" i="3" s="1"/>
  <c r="BA130" i="3"/>
  <c r="AZ130" i="3" s="1"/>
  <c r="G135" i="3"/>
  <c r="G138" i="3"/>
  <c r="G139" i="3"/>
  <c r="G142" i="3"/>
  <c r="G143" i="3"/>
  <c r="G146" i="3"/>
  <c r="G147" i="3"/>
  <c r="G148" i="3"/>
  <c r="BL150" i="3"/>
  <c r="AZ150" i="3" s="1"/>
  <c r="BL153" i="3"/>
  <c r="BA160" i="3"/>
  <c r="AZ160" i="3" s="1"/>
  <c r="G164" i="3"/>
  <c r="BL166" i="3"/>
  <c r="AZ166" i="3" s="1"/>
  <c r="BL169" i="3"/>
  <c r="AZ169" i="3" s="1"/>
  <c r="BA176" i="3"/>
  <c r="AZ176" i="3" s="1"/>
  <c r="G180" i="3"/>
  <c r="BL182" i="3"/>
  <c r="AZ182" i="3" s="1"/>
  <c r="BL185" i="3"/>
  <c r="AZ185" i="3" s="1"/>
  <c r="BL193" i="3"/>
  <c r="BL195" i="3"/>
  <c r="AZ195" i="3" s="1"/>
  <c r="G196" i="3"/>
  <c r="G200" i="3"/>
  <c r="BL202" i="3"/>
  <c r="BL207" i="3"/>
  <c r="BA23" i="3"/>
  <c r="AZ289" i="3"/>
  <c r="AZ290" i="3"/>
  <c r="AZ298" i="3"/>
  <c r="BL117" i="3"/>
  <c r="BL119" i="3"/>
  <c r="AZ119" i="3" s="1"/>
  <c r="AZ134" i="3"/>
  <c r="AZ145" i="3"/>
  <c r="BA200" i="3"/>
  <c r="AZ200" i="3" s="1"/>
  <c r="G20" i="3"/>
  <c r="BL20" i="3"/>
  <c r="AZ20" i="3" s="1"/>
  <c r="BL26" i="3"/>
  <c r="AZ108" i="3"/>
  <c r="BL259" i="3"/>
  <c r="AZ259" i="3" s="1"/>
  <c r="BA264" i="3"/>
  <c r="AZ264" i="3" s="1"/>
  <c r="BA265" i="3"/>
  <c r="AZ265" i="3" s="1"/>
  <c r="G268" i="3"/>
  <c r="G269" i="3"/>
  <c r="G270" i="3"/>
  <c r="BL270" i="3"/>
  <c r="AZ270" i="3" s="1"/>
  <c r="G277" i="3"/>
  <c r="BL277" i="3"/>
  <c r="AZ277" i="3" s="1"/>
  <c r="BA285" i="3"/>
  <c r="AZ285" i="3" s="1"/>
  <c r="BL287" i="3"/>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A193" i="3"/>
  <c r="AZ193" i="3" s="1"/>
  <c r="BA207" i="3"/>
  <c r="AZ207" i="3" s="1"/>
  <c r="BA18" i="3"/>
  <c r="AZ18" i="3" s="1"/>
  <c r="BL21" i="3"/>
  <c r="AZ21" i="3" s="1"/>
  <c r="BL271" i="3"/>
  <c r="AZ271" i="3" s="1"/>
  <c r="BA276" i="3"/>
  <c r="AZ276" i="3" s="1"/>
  <c r="G279" i="3"/>
  <c r="G280" i="3"/>
  <c r="G281" i="3"/>
  <c r="BL281" i="3"/>
  <c r="AZ281" i="3" s="1"/>
  <c r="BL288" i="3"/>
  <c r="BA292" i="3"/>
  <c r="AZ292" i="3" s="1"/>
  <c r="G295" i="3"/>
  <c r="G296" i="3"/>
  <c r="G297" i="3"/>
  <c r="BL297" i="3"/>
  <c r="AZ297" i="3" s="1"/>
  <c r="BA118" i="3"/>
  <c r="AZ118" i="3" s="1"/>
  <c r="BA121" i="3"/>
  <c r="AZ121" i="3" s="1"/>
  <c r="G124" i="3"/>
  <c r="G127" i="3"/>
  <c r="G130" i="3"/>
  <c r="G131" i="3"/>
  <c r="BL133" i="3"/>
  <c r="AZ133" i="3" s="1"/>
  <c r="BL135" i="3"/>
  <c r="AZ135" i="3" s="1"/>
  <c r="BL139" i="3"/>
  <c r="AZ139" i="3" s="1"/>
  <c r="BL143" i="3"/>
  <c r="AZ143" i="3" s="1"/>
  <c r="BL149" i="3"/>
  <c r="BA156" i="3"/>
  <c r="AZ156" i="3" s="1"/>
  <c r="BL162" i="3"/>
  <c r="AZ162" i="3" s="1"/>
  <c r="BL165" i="3"/>
  <c r="BA172" i="3"/>
  <c r="AZ172" i="3" s="1"/>
  <c r="BL178" i="3"/>
  <c r="AZ178" i="3" s="1"/>
  <c r="BL181" i="3"/>
  <c r="BA190" i="3"/>
  <c r="AZ190" i="3" s="1"/>
  <c r="BA192" i="3"/>
  <c r="AZ192" i="3" s="1"/>
  <c r="BL198" i="3"/>
  <c r="AZ198" i="3" s="1"/>
  <c r="BL201" i="3"/>
  <c r="AZ201" i="3" s="1"/>
  <c r="AZ27" i="3"/>
  <c r="BA29" i="3"/>
  <c r="AZ29" i="3" s="1"/>
  <c r="AZ104" i="3"/>
  <c r="BA188" i="3"/>
  <c r="AZ188" i="3" s="1"/>
  <c r="G192" i="3"/>
  <c r="BL194" i="3"/>
  <c r="BL197" i="3"/>
  <c r="AZ197" i="3" s="1"/>
  <c r="BA204" i="3"/>
  <c r="AZ204" i="3" s="1"/>
  <c r="BA205" i="3"/>
  <c r="AZ205" i="3" s="1"/>
  <c r="BA206" i="3"/>
  <c r="G19" i="3"/>
  <c r="BL19" i="3"/>
  <c r="BA22" i="3"/>
  <c r="AZ22" i="3" s="1"/>
  <c r="BL24" i="3"/>
  <c r="BL32" i="3"/>
  <c r="AZ32" i="3" s="1"/>
  <c r="BA34" i="3"/>
  <c r="AZ34" i="3" s="1"/>
  <c r="BA40" i="3"/>
  <c r="AZ40" i="3" s="1"/>
  <c r="BL42" i="3"/>
  <c r="AZ42" i="3" s="1"/>
  <c r="G49" i="3"/>
  <c r="BL49" i="3"/>
  <c r="AZ49" i="3" s="1"/>
  <c r="BA52" i="3"/>
  <c r="AZ52" i="3" s="1"/>
  <c r="BA53" i="3"/>
  <c r="AZ53" i="3" s="1"/>
  <c r="BL55" i="3"/>
  <c r="AZ55" i="3" s="1"/>
  <c r="G61" i="3"/>
  <c r="G62" i="3"/>
  <c r="BL62" i="3"/>
  <c r="BL67" i="3"/>
  <c r="AZ67" i="3" s="1"/>
  <c r="G74" i="3"/>
  <c r="G75" i="3"/>
  <c r="G76" i="3"/>
  <c r="BL76" i="3"/>
  <c r="AZ76" i="3" s="1"/>
  <c r="BA78" i="3"/>
  <c r="BA79" i="3"/>
  <c r="AZ79" i="3" s="1"/>
  <c r="BA90" i="3"/>
  <c r="AZ90" i="3" s="1"/>
  <c r="G93" i="3"/>
  <c r="G94" i="3"/>
  <c r="G95" i="3"/>
  <c r="BL95" i="3"/>
  <c r="AZ95" i="3" s="1"/>
  <c r="BL102" i="3"/>
  <c r="AZ102" i="3" s="1"/>
  <c r="G107" i="3"/>
  <c r="BL107" i="3"/>
  <c r="AZ107" i="3" s="1"/>
  <c r="I100" i="43"/>
  <c r="BL38" i="3"/>
  <c r="AZ38" i="3" s="1"/>
  <c r="AZ48" i="3"/>
  <c r="AZ60" i="3"/>
  <c r="AZ62" i="3"/>
  <c r="BL70" i="3"/>
  <c r="AZ70" i="3" s="1"/>
  <c r="AZ73" i="3"/>
  <c r="BA74" i="3"/>
  <c r="AZ74" i="3" s="1"/>
  <c r="BA75" i="3"/>
  <c r="AZ75" i="3" s="1"/>
  <c r="BL77" i="3"/>
  <c r="AZ77" i="3" s="1"/>
  <c r="BL84" i="3"/>
  <c r="BL88" i="3"/>
  <c r="BA92" i="3"/>
  <c r="AZ92" i="3" s="1"/>
  <c r="BA93" i="3"/>
  <c r="AZ93" i="3" s="1"/>
  <c r="BA94" i="3"/>
  <c r="AZ94" i="3" s="1"/>
  <c r="G97" i="3"/>
  <c r="G98" i="3"/>
  <c r="BL98" i="3"/>
  <c r="AZ98" i="3" s="1"/>
  <c r="BL104" i="3"/>
  <c r="BA106" i="3"/>
  <c r="AZ106" i="3" s="1"/>
  <c r="BA112" i="3"/>
  <c r="AZ112" i="3" s="1"/>
  <c r="C7" i="83"/>
  <c r="C59" i="83" s="1"/>
  <c r="D59" i="83" s="1"/>
  <c r="E59" i="83" s="1"/>
  <c r="F59" i="83" s="1"/>
  <c r="G59" i="83" s="1"/>
  <c r="H59" i="83" s="1"/>
  <c r="I59" i="83" s="1"/>
  <c r="J59" i="83" s="1"/>
  <c r="K59" i="83" s="1"/>
  <c r="L59" i="83" s="1"/>
  <c r="M59" i="83" s="1"/>
  <c r="N59" i="83" s="1"/>
  <c r="O59" i="83" s="1"/>
  <c r="G19" i="100"/>
  <c r="C7" i="94"/>
  <c r="C7" i="92"/>
  <c r="C59" i="92" s="1"/>
  <c r="C7" i="87"/>
  <c r="C7" i="86"/>
  <c r="C59" i="86" s="1"/>
  <c r="M47" i="90"/>
  <c r="M47" i="89"/>
  <c r="BA25" i="3"/>
  <c r="AZ25" i="3" s="1"/>
  <c r="G28" i="3"/>
  <c r="G29" i="3"/>
  <c r="G30" i="3"/>
  <c r="BL30" i="3"/>
  <c r="AZ30" i="3" s="1"/>
  <c r="BA36" i="3"/>
  <c r="AZ36" i="3" s="1"/>
  <c r="BA37" i="3"/>
  <c r="AZ37" i="3" s="1"/>
  <c r="BL39" i="3"/>
  <c r="AZ39" i="3" s="1"/>
  <c r="G45" i="3"/>
  <c r="G46" i="3"/>
  <c r="BL46" i="3"/>
  <c r="AZ46" i="3" s="1"/>
  <c r="BL51" i="3"/>
  <c r="BA56" i="3"/>
  <c r="AZ56" i="3" s="1"/>
  <c r="BL58" i="3"/>
  <c r="AZ58" i="3" s="1"/>
  <c r="G65" i="3"/>
  <c r="BL65" i="3"/>
  <c r="BA68" i="3"/>
  <c r="AZ68" i="3" s="1"/>
  <c r="BA69" i="3"/>
  <c r="AZ69" i="3" s="1"/>
  <c r="BL71" i="3"/>
  <c r="AZ71" i="3" s="1"/>
  <c r="BA81" i="3"/>
  <c r="AZ81" i="3" s="1"/>
  <c r="BA82" i="3"/>
  <c r="AZ82" i="3" s="1"/>
  <c r="BA83" i="3"/>
  <c r="AZ83" i="3" s="1"/>
  <c r="BL85" i="3"/>
  <c r="AZ85" i="3" s="1"/>
  <c r="BA87" i="3"/>
  <c r="AZ87" i="3" s="1"/>
  <c r="BL89" i="3"/>
  <c r="AZ89" i="3" s="1"/>
  <c r="BA96" i="3"/>
  <c r="AZ96" i="3" s="1"/>
  <c r="BA97" i="3"/>
  <c r="AZ97" i="3" s="1"/>
  <c r="G100" i="3"/>
  <c r="BL100" i="3"/>
  <c r="AZ100" i="3" s="1"/>
  <c r="BA103" i="3"/>
  <c r="AZ103" i="3" s="1"/>
  <c r="BL105" i="3"/>
  <c r="AZ105" i="3" s="1"/>
  <c r="G109" i="3"/>
  <c r="G110" i="3"/>
  <c r="G111" i="3"/>
  <c r="BL111" i="3"/>
  <c r="J51" i="15"/>
  <c r="M100" i="43"/>
  <c r="E100" i="43"/>
  <c r="BL31" i="3"/>
  <c r="AZ31" i="3" s="1"/>
  <c r="BL35" i="3"/>
  <c r="BL41" i="3"/>
  <c r="AZ41" i="3" s="1"/>
  <c r="BA44" i="3"/>
  <c r="AZ44" i="3" s="1"/>
  <c r="BA45" i="3"/>
  <c r="AZ45" i="3" s="1"/>
  <c r="BL47" i="3"/>
  <c r="AZ47" i="3" s="1"/>
  <c r="BL54" i="3"/>
  <c r="AZ54" i="3" s="1"/>
  <c r="BL59" i="3"/>
  <c r="AZ59" i="3" s="1"/>
  <c r="BA64" i="3"/>
  <c r="AZ64" i="3" s="1"/>
  <c r="BL66" i="3"/>
  <c r="AZ66" i="3" s="1"/>
  <c r="BL72" i="3"/>
  <c r="AZ72" i="3" s="1"/>
  <c r="C51" i="10"/>
  <c r="A13" i="51" s="1"/>
  <c r="B11" i="72" s="1"/>
  <c r="A2" i="90"/>
  <c r="A2" i="89"/>
  <c r="A118" i="90"/>
  <c r="A118" i="89"/>
  <c r="M20" i="15"/>
  <c r="F34" i="88"/>
  <c r="F62" i="88" s="1"/>
  <c r="M20" i="88"/>
  <c r="F34" i="78"/>
  <c r="F62" i="78" s="1"/>
  <c r="M20" i="78"/>
  <c r="M20" i="77"/>
  <c r="F34" i="77"/>
  <c r="F62" i="77" s="1"/>
  <c r="G8" i="1"/>
  <c r="D3" i="94"/>
  <c r="D3" i="92"/>
  <c r="G20" i="43"/>
  <c r="H87" i="43"/>
  <c r="H82" i="43"/>
  <c r="G1" i="88"/>
  <c r="M9" i="1"/>
  <c r="O9" i="1" s="1"/>
  <c r="P9" i="1" s="1"/>
  <c r="U43" i="33"/>
  <c r="J41" i="33"/>
  <c r="W33" i="33"/>
  <c r="W39" i="33"/>
  <c r="S26" i="33"/>
  <c r="S41" i="33"/>
  <c r="S38" i="33"/>
  <c r="U35" i="33"/>
  <c r="AB26" i="33"/>
  <c r="D3" i="86"/>
  <c r="D3" i="87"/>
  <c r="G14" i="3"/>
  <c r="F29" i="6"/>
  <c r="F9" i="1"/>
  <c r="M8" i="1"/>
  <c r="O8" i="1" s="1"/>
  <c r="P8" i="1" s="1"/>
  <c r="F3" i="35"/>
  <c r="G1" i="78"/>
  <c r="G1" i="77"/>
  <c r="A15" i="62"/>
  <c r="B61" i="72" s="1"/>
  <c r="G28" i="6"/>
  <c r="H74" i="43"/>
  <c r="H75" i="43"/>
  <c r="D93" i="9"/>
  <c r="E15" i="6"/>
  <c r="E60" i="40" s="1"/>
  <c r="K6" i="1"/>
  <c r="E13" i="6"/>
  <c r="E58" i="40" s="1"/>
  <c r="G29" i="6"/>
  <c r="AC26" i="33"/>
  <c r="W26" i="33"/>
  <c r="W27" i="34"/>
  <c r="AC27" i="34"/>
  <c r="AB34" i="36"/>
  <c r="U34" i="36"/>
  <c r="AB33" i="36"/>
  <c r="AC12" i="39"/>
  <c r="W12" i="39"/>
  <c r="AC39" i="40"/>
  <c r="W39" i="40"/>
  <c r="AZ401" i="3"/>
  <c r="AZ417" i="3"/>
  <c r="AZ433" i="3"/>
  <c r="AZ586" i="3"/>
  <c r="W12" i="33"/>
  <c r="AC12" i="33"/>
  <c r="AA32" i="36"/>
  <c r="S32" i="36"/>
  <c r="AZ551" i="3"/>
  <c r="AZ550" i="3"/>
  <c r="AZ408"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6" i="3"/>
  <c r="AZ149" i="3"/>
  <c r="AZ165" i="3"/>
  <c r="AZ181" i="3"/>
  <c r="AZ189" i="3"/>
  <c r="AZ26" i="3"/>
  <c r="AZ35" i="3"/>
  <c r="S12" i="1"/>
  <c r="AQ12" i="1" s="1"/>
  <c r="R12" i="1"/>
  <c r="B12" i="1"/>
  <c r="E12" i="1" s="1"/>
  <c r="B10" i="1"/>
  <c r="E10" i="1" s="1"/>
  <c r="D1" i="66"/>
  <c r="E10" i="66" s="1"/>
  <c r="AZ80" i="3"/>
  <c r="AZ88"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E65" i="39"/>
  <c r="J56" i="9"/>
  <c r="J57" i="9" s="1"/>
  <c r="A24" i="51"/>
  <c r="B18" i="72" s="1"/>
  <c r="U29" i="34"/>
  <c r="E14" i="6"/>
  <c r="E64" i="39" s="1"/>
  <c r="E5" i="6"/>
  <c r="D9" i="11" s="1"/>
  <c r="C9" i="11" s="1"/>
  <c r="P10" i="1"/>
  <c r="E32" i="6"/>
  <c r="L19" i="6" s="1"/>
  <c r="G1" i="68"/>
  <c r="K1" i="12"/>
  <c r="F30" i="6"/>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6" i="43" s="1"/>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E57" i="40" l="1"/>
  <c r="E62" i="39"/>
  <c r="AZ279" i="3"/>
  <c r="U12" i="33"/>
  <c r="AB12" i="33"/>
  <c r="AA29" i="21"/>
  <c r="J7" i="83"/>
  <c r="E8" i="6"/>
  <c r="AZ65" i="3"/>
  <c r="AZ51" i="3"/>
  <c r="AZ24" i="3"/>
  <c r="AZ206" i="3"/>
  <c r="AZ194" i="3"/>
  <c r="AZ288" i="3"/>
  <c r="AZ117" i="3"/>
  <c r="AZ23" i="3"/>
  <c r="AZ295" i="3"/>
  <c r="AZ212" i="3"/>
  <c r="AZ223" i="3"/>
  <c r="AZ492" i="3"/>
  <c r="AZ219" i="3"/>
  <c r="AZ470" i="3"/>
  <c r="AZ413" i="3"/>
  <c r="AZ101" i="3"/>
  <c r="AZ186" i="3"/>
  <c r="AZ478" i="3"/>
  <c r="AZ453" i="3"/>
  <c r="AZ464" i="3"/>
  <c r="AZ430" i="3"/>
  <c r="AZ443" i="3"/>
  <c r="AZ421" i="3"/>
  <c r="AZ142" i="3"/>
  <c r="AZ63" i="3"/>
  <c r="S14" i="37"/>
  <c r="AA14" i="37"/>
  <c r="AA35" i="39"/>
  <c r="S35" i="39"/>
  <c r="AZ78" i="3"/>
  <c r="AZ202" i="3"/>
  <c r="AZ273" i="3"/>
  <c r="AZ396" i="3"/>
  <c r="AZ485" i="3"/>
  <c r="AZ407" i="3"/>
  <c r="AZ436" i="3"/>
  <c r="AZ460" i="3"/>
  <c r="AZ245" i="3"/>
  <c r="AC23" i="35"/>
  <c r="W23" i="35"/>
  <c r="AC14" i="37"/>
  <c r="W14" i="37"/>
  <c r="S39" i="37"/>
  <c r="AA39" i="37"/>
  <c r="AZ425" i="3"/>
  <c r="W17" i="21"/>
  <c r="F53" i="9"/>
  <c r="D68" i="90"/>
  <c r="F53" i="90"/>
  <c r="D68" i="89"/>
  <c r="F53" i="89"/>
  <c r="M18" i="88"/>
  <c r="F52" i="90"/>
  <c r="F52" i="89"/>
  <c r="F28" i="88"/>
  <c r="C28" i="88" s="1"/>
  <c r="F54" i="90"/>
  <c r="F54" i="89"/>
  <c r="F32" i="88"/>
  <c r="F60" i="88" s="1"/>
  <c r="D53" i="90"/>
  <c r="D52" i="89"/>
  <c r="D53" i="89"/>
  <c r="D52" i="90"/>
  <c r="F32" i="78"/>
  <c r="F60" i="78" s="1"/>
  <c r="F28" i="78"/>
  <c r="M18" i="77"/>
  <c r="F28" i="77"/>
  <c r="M18" i="78"/>
  <c r="F32" i="77"/>
  <c r="F60" i="77" s="1"/>
  <c r="C59" i="87"/>
  <c r="D59" i="87" s="1"/>
  <c r="E59" i="87" s="1"/>
  <c r="F59" i="87" s="1"/>
  <c r="G59" i="87" s="1"/>
  <c r="H59" i="87" s="1"/>
  <c r="I59" i="87" s="1"/>
  <c r="J59" i="87" s="1"/>
  <c r="K59" i="87" s="1"/>
  <c r="L59" i="87" s="1"/>
  <c r="M59" i="87" s="1"/>
  <c r="N59" i="87" s="1"/>
  <c r="O59" i="87" s="1"/>
  <c r="I7" i="87"/>
  <c r="J7" i="87" s="1"/>
  <c r="E7" i="87"/>
  <c r="F7" i="87" s="1"/>
  <c r="G7" i="87"/>
  <c r="H7" i="87" s="1"/>
  <c r="AZ287" i="3"/>
  <c r="AZ278" i="3"/>
  <c r="C93" i="90"/>
  <c r="C86" i="90" s="1"/>
  <c r="AC36" i="35"/>
  <c r="W36" i="35"/>
  <c r="W45" i="39"/>
  <c r="AC45" i="39"/>
  <c r="AB9" i="36"/>
  <c r="U9" i="36"/>
  <c r="U12" i="36"/>
  <c r="AB12" i="36"/>
  <c r="C77" i="90"/>
  <c r="C74" i="90" s="1"/>
  <c r="C77" i="89"/>
  <c r="C74" i="89" s="1"/>
  <c r="C72" i="89"/>
  <c r="C85" i="90"/>
  <c r="C72" i="90"/>
  <c r="C85" i="89"/>
  <c r="C63" i="90"/>
  <c r="C67" i="90" s="1"/>
  <c r="C68" i="90" s="1"/>
  <c r="D54" i="90" s="1"/>
  <c r="C63" i="89"/>
  <c r="C67" i="89" s="1"/>
  <c r="C68" i="89" s="1"/>
  <c r="D54" i="89" s="1"/>
  <c r="D59" i="92"/>
  <c r="E59" i="92" s="1"/>
  <c r="F59" i="92" s="1"/>
  <c r="G59" i="92" s="1"/>
  <c r="H59" i="92" s="1"/>
  <c r="I59" i="92" s="1"/>
  <c r="J59" i="92" s="1"/>
  <c r="K59" i="92" s="1"/>
  <c r="L59" i="92" s="1"/>
  <c r="M59" i="92" s="1"/>
  <c r="N59" i="92" s="1"/>
  <c r="O59" i="92" s="1"/>
  <c r="F7" i="92"/>
  <c r="J7" i="92"/>
  <c r="H7" i="92"/>
  <c r="C78" i="89"/>
  <c r="AB12" i="21"/>
  <c r="U12" i="21"/>
  <c r="U45" i="39"/>
  <c r="AB45" i="39"/>
  <c r="AC12" i="36"/>
  <c r="W12" i="36"/>
  <c r="E28" i="6"/>
  <c r="C58" i="94"/>
  <c r="D58" i="94" s="1"/>
  <c r="E58" i="94" s="1"/>
  <c r="F58" i="94" s="1"/>
  <c r="G58" i="94" s="1"/>
  <c r="H58" i="94" s="1"/>
  <c r="I58" i="94" s="1"/>
  <c r="J58" i="94" s="1"/>
  <c r="K58" i="94" s="1"/>
  <c r="L58" i="94" s="1"/>
  <c r="M58" i="94" s="1"/>
  <c r="N58" i="94" s="1"/>
  <c r="O58" i="94" s="1"/>
  <c r="I7" i="94"/>
  <c r="J7" i="94" s="1"/>
  <c r="G7" i="94"/>
  <c r="H7" i="94" s="1"/>
  <c r="E7" i="94"/>
  <c r="F7" i="94" s="1"/>
  <c r="C78" i="90"/>
  <c r="AC36" i="39"/>
  <c r="W36" i="39"/>
  <c r="W12" i="34"/>
  <c r="AC12" i="34"/>
  <c r="D59" i="86"/>
  <c r="E59" i="86" s="1"/>
  <c r="F59" i="86" s="1"/>
  <c r="G59" i="86" s="1"/>
  <c r="H59" i="86" s="1"/>
  <c r="I59" i="86" s="1"/>
  <c r="J59" i="86" s="1"/>
  <c r="K59" i="86" s="1"/>
  <c r="L59" i="86" s="1"/>
  <c r="M59" i="86" s="1"/>
  <c r="N59" i="86" s="1"/>
  <c r="O59" i="86" s="1"/>
  <c r="J7" i="86"/>
  <c r="H7" i="86"/>
  <c r="P25" i="100"/>
  <c r="P22" i="100"/>
  <c r="O19" i="100"/>
  <c r="C19" i="100" s="1"/>
  <c r="P23" i="100"/>
  <c r="M20" i="100"/>
  <c r="P24" i="100"/>
  <c r="P21" i="100"/>
  <c r="AZ260" i="3"/>
  <c r="C93" i="89"/>
  <c r="C86" i="89" s="1"/>
  <c r="W33" i="36"/>
  <c r="AC33" i="36"/>
  <c r="S12" i="21"/>
  <c r="AA12" i="21"/>
  <c r="U39" i="40"/>
  <c r="AB39" i="40"/>
  <c r="S36" i="39"/>
  <c r="AA36" i="39"/>
  <c r="S12" i="36"/>
  <c r="AA12" i="36"/>
  <c r="S12" i="34"/>
  <c r="AA12" i="34"/>
  <c r="G9" i="1"/>
  <c r="I20" i="43"/>
  <c r="C20" i="43" s="1"/>
  <c r="I20" i="100"/>
  <c r="C20" i="100" s="1"/>
  <c r="T12" i="100" s="1"/>
  <c r="V12" i="100" s="1"/>
  <c r="H55" i="43"/>
  <c r="F59" i="43"/>
  <c r="H52" i="43"/>
  <c r="H50" i="43"/>
  <c r="H48" i="43"/>
  <c r="H49" i="43"/>
  <c r="H51" i="43"/>
  <c r="H53" i="43"/>
  <c r="H54" i="43"/>
  <c r="E29" i="6"/>
  <c r="W41" i="33"/>
  <c r="AC41" i="33"/>
  <c r="G101" i="33"/>
  <c r="H101" i="33" s="1"/>
  <c r="I101" i="33" s="1"/>
  <c r="J101" i="33" s="1"/>
  <c r="K101" i="33" s="1"/>
  <c r="L101" i="33" s="1"/>
  <c r="M101" i="33" s="1"/>
  <c r="H32" i="33"/>
  <c r="F32" i="33"/>
  <c r="C4" i="4"/>
  <c r="B4" i="62" s="1"/>
  <c r="G30" i="6"/>
  <c r="G31" i="6" s="1"/>
  <c r="E56" i="40"/>
  <c r="E56" i="39"/>
  <c r="AC7" i="83"/>
  <c r="V49" i="83" s="1"/>
  <c r="I49" i="83" s="1"/>
  <c r="W7" i="83"/>
  <c r="C28" i="78"/>
  <c r="C28" i="77"/>
  <c r="F7" i="83"/>
  <c r="H7" i="83"/>
  <c r="T12" i="1"/>
  <c r="E4" i="4"/>
  <c r="J53" i="67"/>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F27" i="6" l="1"/>
  <c r="F31" i="6" s="1"/>
  <c r="E51" i="40"/>
  <c r="C30" i="69"/>
  <c r="C73" i="90"/>
  <c r="C79" i="90" s="1"/>
  <c r="C73" i="89"/>
  <c r="W7" i="86"/>
  <c r="AC7" i="86"/>
  <c r="V49" i="86" s="1"/>
  <c r="I49" i="86" s="1"/>
  <c r="AC7" i="94"/>
  <c r="V48" i="94" s="1"/>
  <c r="I48" i="94" s="1"/>
  <c r="W7" i="94"/>
  <c r="AA7" i="92"/>
  <c r="R49" i="92" s="1"/>
  <c r="S7" i="92"/>
  <c r="C95" i="89"/>
  <c r="AA7" i="87"/>
  <c r="R49" i="87" s="1"/>
  <c r="S7" i="87"/>
  <c r="C19" i="43"/>
  <c r="F7" i="86"/>
  <c r="W7" i="87"/>
  <c r="AC7" i="87"/>
  <c r="V49" i="87" s="1"/>
  <c r="I49" i="87" s="1"/>
  <c r="I53" i="87" s="1"/>
  <c r="J53" i="87" s="1"/>
  <c r="AA7" i="94"/>
  <c r="R48" i="94" s="1"/>
  <c r="S7" i="94"/>
  <c r="U7" i="92"/>
  <c r="AB7" i="92"/>
  <c r="T49" i="92" s="1"/>
  <c r="G49" i="92" s="1"/>
  <c r="C95" i="90"/>
  <c r="AB7" i="86"/>
  <c r="T49" i="86" s="1"/>
  <c r="G49" i="86" s="1"/>
  <c r="U7" i="86"/>
  <c r="U7" i="94"/>
  <c r="AB7" i="94"/>
  <c r="T48" i="94" s="1"/>
  <c r="G48" i="94" s="1"/>
  <c r="AC7" i="92"/>
  <c r="V49" i="92" s="1"/>
  <c r="I49" i="92" s="1"/>
  <c r="W7" i="92"/>
  <c r="C79" i="89"/>
  <c r="U7" i="87"/>
  <c r="AB7" i="87"/>
  <c r="T49" i="87" s="1"/>
  <c r="G49" i="87" s="1"/>
  <c r="B71" i="72"/>
  <c r="F31" i="15"/>
  <c r="C37" i="100"/>
  <c r="E37" i="100" s="1"/>
  <c r="C34" i="100"/>
  <c r="G34" i="100" s="1"/>
  <c r="I34" i="100" s="1"/>
  <c r="T11" i="100"/>
  <c r="V11" i="100" s="1"/>
  <c r="T16" i="100"/>
  <c r="V16" i="100" s="1"/>
  <c r="T8" i="100"/>
  <c r="V8" i="100" s="1"/>
  <c r="C36" i="100"/>
  <c r="E36" i="100" s="1"/>
  <c r="C33" i="100"/>
  <c r="G33" i="100" s="1"/>
  <c r="I33" i="100" s="1"/>
  <c r="C38" i="100"/>
  <c r="E38" i="100" s="1"/>
  <c r="T15" i="100"/>
  <c r="V15" i="100" s="1"/>
  <c r="C39" i="100"/>
  <c r="G39" i="100" s="1"/>
  <c r="I39" i="100" s="1"/>
  <c r="T9" i="100"/>
  <c r="V9" i="100" s="1"/>
  <c r="T14" i="100"/>
  <c r="V14" i="100" s="1"/>
  <c r="T10" i="100"/>
  <c r="V10" i="100" s="1"/>
  <c r="T13" i="100"/>
  <c r="V13" i="100" s="1"/>
  <c r="C35" i="100"/>
  <c r="G35" i="100" s="1"/>
  <c r="I35" i="100" s="1"/>
  <c r="H62" i="43"/>
  <c r="H61" i="43"/>
  <c r="H60" i="43"/>
  <c r="H59" i="43"/>
  <c r="H67" i="43"/>
  <c r="H66" i="43"/>
  <c r="H65" i="43"/>
  <c r="H64" i="43"/>
  <c r="H63" i="43"/>
  <c r="D5" i="43"/>
  <c r="C33" i="43" s="1"/>
  <c r="G33" i="43" s="1"/>
  <c r="I33" i="43" s="1"/>
  <c r="O7" i="1"/>
  <c r="O16" i="1" s="1"/>
  <c r="E7" i="70"/>
  <c r="AB32" i="33"/>
  <c r="U32" i="33"/>
  <c r="AA32" i="33"/>
  <c r="S32" i="33"/>
  <c r="K4" i="4"/>
  <c r="B46" i="48" s="1"/>
  <c r="U7" i="83"/>
  <c r="AB7" i="83"/>
  <c r="T49" i="83" s="1"/>
  <c r="G49" i="83" s="1"/>
  <c r="AA7" i="83"/>
  <c r="R49" i="83" s="1"/>
  <c r="S7" i="83"/>
  <c r="I53" i="83"/>
  <c r="J53" i="83" s="1"/>
  <c r="K16" i="1"/>
  <c r="B5" i="62"/>
  <c r="M22" i="6"/>
  <c r="I22" i="6" s="1"/>
  <c r="S22" i="6" s="1"/>
  <c r="S9" i="1"/>
  <c r="E9" i="70" s="1"/>
  <c r="M20" i="6"/>
  <c r="I20" i="6" s="1"/>
  <c r="M23" i="6"/>
  <c r="I23" i="6" s="1"/>
  <c r="S23" i="6" s="1"/>
  <c r="S10" i="1"/>
  <c r="M21" i="6"/>
  <c r="I21" i="6" s="1"/>
  <c r="S21" i="6" s="1"/>
  <c r="S8" i="1"/>
  <c r="E8" i="70" s="1"/>
  <c r="AQ7" i="1"/>
  <c r="E3" i="6"/>
  <c r="T7" i="1"/>
  <c r="AR7" i="1"/>
  <c r="C30" i="11"/>
  <c r="E6" i="70"/>
  <c r="K27" i="6"/>
  <c r="A18" i="62"/>
  <c r="B64" i="72"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S20" i="6"/>
  <c r="I19" i="6"/>
  <c r="H10" i="39"/>
  <c r="J10" i="39"/>
  <c r="M16" i="1"/>
  <c r="N16" i="1" s="1"/>
  <c r="F27" i="11"/>
  <c r="F1" i="67"/>
  <c r="Q52" i="67"/>
  <c r="F31" i="78"/>
  <c r="M17" i="67"/>
  <c r="M17" i="77"/>
  <c r="F59" i="78"/>
  <c r="F59" i="67"/>
  <c r="F31" i="77"/>
  <c r="M17" i="88"/>
  <c r="F31" i="67"/>
  <c r="M17" i="78"/>
  <c r="F59" i="77"/>
  <c r="F59" i="88"/>
  <c r="G37" i="100" l="1"/>
  <c r="I37" i="100" s="1"/>
  <c r="G36" i="100"/>
  <c r="I36" i="100" s="1"/>
  <c r="D19" i="11"/>
  <c r="C19" i="11" s="1"/>
  <c r="C20" i="11" s="1"/>
  <c r="F27" i="96"/>
  <c r="G54" i="87"/>
  <c r="H54" i="87" s="1"/>
  <c r="G53" i="87"/>
  <c r="H53" i="87" s="1"/>
  <c r="I53" i="92"/>
  <c r="J53" i="92" s="1"/>
  <c r="G54" i="86"/>
  <c r="H54" i="86" s="1"/>
  <c r="G53" i="86"/>
  <c r="H53" i="86" s="1"/>
  <c r="C80" i="90"/>
  <c r="E80" i="90" s="1"/>
  <c r="E81" i="90" s="1"/>
  <c r="C81" i="90"/>
  <c r="R50" i="87"/>
  <c r="E49" i="87"/>
  <c r="B14" i="74"/>
  <c r="B1" i="74" s="1"/>
  <c r="G53" i="94"/>
  <c r="H53" i="94" s="1"/>
  <c r="G52" i="94"/>
  <c r="H52" i="94" s="1"/>
  <c r="C96" i="90"/>
  <c r="E96" i="90" s="1"/>
  <c r="E97" i="90" s="1"/>
  <c r="C97" i="90"/>
  <c r="D58" i="90" s="1"/>
  <c r="D56" i="90" s="1"/>
  <c r="M54" i="90" s="1"/>
  <c r="N57" i="90" s="1"/>
  <c r="E48" i="94"/>
  <c r="R49" i="94"/>
  <c r="S7" i="86"/>
  <c r="AA7" i="86"/>
  <c r="R49" i="86" s="1"/>
  <c r="C97" i="89"/>
  <c r="D58" i="89" s="1"/>
  <c r="D56" i="89" s="1"/>
  <c r="M54" i="89" s="1"/>
  <c r="N57" i="89" s="1"/>
  <c r="C96" i="89"/>
  <c r="E96" i="89" s="1"/>
  <c r="E97" i="89" s="1"/>
  <c r="I52" i="94"/>
  <c r="J52" i="94" s="1"/>
  <c r="I53" i="94"/>
  <c r="J53" i="94" s="1"/>
  <c r="C81" i="89"/>
  <c r="C80" i="89"/>
  <c r="E80" i="89" s="1"/>
  <c r="E81" i="89" s="1"/>
  <c r="G53" i="92"/>
  <c r="H53" i="92" s="1"/>
  <c r="G54" i="92"/>
  <c r="H54" i="92" s="1"/>
  <c r="I53" i="86"/>
  <c r="J53" i="86" s="1"/>
  <c r="E6" i="6"/>
  <c r="R50" i="92"/>
  <c r="E49" i="92"/>
  <c r="B4" i="72"/>
  <c r="B73" i="72"/>
  <c r="E34" i="100"/>
  <c r="E39" i="100"/>
  <c r="G38" i="100"/>
  <c r="I38" i="100" s="1"/>
  <c r="E33" i="100"/>
  <c r="E35" i="100"/>
  <c r="M27" i="6"/>
  <c r="G39" i="43"/>
  <c r="I39" i="43" s="1"/>
  <c r="L18" i="9"/>
  <c r="D3" i="37"/>
  <c r="C17" i="4"/>
  <c r="B4" i="52" s="1"/>
  <c r="B43" i="72" s="1"/>
  <c r="L19" i="90"/>
  <c r="L19" i="89"/>
  <c r="M19" i="90"/>
  <c r="C118" i="90" s="1"/>
  <c r="M19" i="89"/>
  <c r="C118" i="89" s="1"/>
  <c r="M18" i="9"/>
  <c r="B118" i="9" s="1"/>
  <c r="D14" i="12"/>
  <c r="D17" i="12" s="1"/>
  <c r="C17" i="12" s="1"/>
  <c r="D37" i="11"/>
  <c r="D3" i="34"/>
  <c r="L18" i="90"/>
  <c r="L18" i="89"/>
  <c r="M18" i="90"/>
  <c r="B118" i="90" s="1"/>
  <c r="M18" i="89"/>
  <c r="B118" i="89" s="1"/>
  <c r="H108" i="89"/>
  <c r="H108" i="90"/>
  <c r="D3" i="83"/>
  <c r="G54" i="83"/>
  <c r="H54" i="83" s="1"/>
  <c r="G53" i="83"/>
  <c r="H53" i="83" s="1"/>
  <c r="E49" i="83"/>
  <c r="R50" i="83"/>
  <c r="D3" i="21"/>
  <c r="AR9" i="1"/>
  <c r="AQ9" i="1"/>
  <c r="T9" i="1"/>
  <c r="AQ10" i="1"/>
  <c r="T10" i="1"/>
  <c r="AR10" i="1"/>
  <c r="AQ8" i="1"/>
  <c r="AR8" i="1"/>
  <c r="T8" i="1"/>
  <c r="D3" i="33"/>
  <c r="E37" i="43"/>
  <c r="AA7" i="36"/>
  <c r="R36" i="36" s="1"/>
  <c r="E36" i="36" s="1"/>
  <c r="E40" i="36" s="1"/>
  <c r="F40" i="36" s="1"/>
  <c r="AC11" i="37"/>
  <c r="W11" i="37"/>
  <c r="AB7" i="37"/>
  <c r="T42" i="37" s="1"/>
  <c r="G42" i="37" s="1"/>
  <c r="G46" i="37" s="1"/>
  <c r="H46" i="37" s="1"/>
  <c r="W11" i="34"/>
  <c r="AC11" i="34"/>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F34" i="11"/>
  <c r="F11" i="12"/>
  <c r="F34" i="68"/>
  <c r="C36" i="68" s="1"/>
  <c r="AC10" i="40"/>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H19" i="6"/>
  <c r="S19" i="6"/>
  <c r="S27" i="6" s="1"/>
  <c r="I27" i="6"/>
  <c r="W10" i="39"/>
  <c r="AC10" i="39"/>
  <c r="U10" i="39"/>
  <c r="AB10" i="39"/>
  <c r="F50" i="11"/>
  <c r="F50" i="69"/>
  <c r="F50" i="68"/>
  <c r="C47" i="11"/>
  <c r="D45" i="11" s="1"/>
  <c r="C29" i="11"/>
  <c r="D27" i="11" s="1"/>
  <c r="C28" i="11"/>
  <c r="C27" i="11" s="1"/>
  <c r="L16" i="1"/>
  <c r="I54" i="87" l="1"/>
  <c r="J54" i="87" s="1"/>
  <c r="E54" i="87"/>
  <c r="F54" i="87" s="1"/>
  <c r="E53" i="87"/>
  <c r="F53" i="87" s="1"/>
  <c r="C48" i="94"/>
  <c r="C49" i="94"/>
  <c r="C49" i="87"/>
  <c r="C50" i="87"/>
  <c r="E54" i="92"/>
  <c r="F54" i="92" s="1"/>
  <c r="E53" i="92"/>
  <c r="F53" i="92" s="1"/>
  <c r="N58" i="89"/>
  <c r="N59" i="89"/>
  <c r="P57" i="89"/>
  <c r="E53" i="94"/>
  <c r="F53" i="94" s="1"/>
  <c r="E52" i="94"/>
  <c r="F52" i="94" s="1"/>
  <c r="I54" i="92"/>
  <c r="J54" i="92" s="1"/>
  <c r="AA7" i="34"/>
  <c r="R49" i="34" s="1"/>
  <c r="C50" i="92"/>
  <c r="B2" i="92" s="1"/>
  <c r="B3" i="92" s="1"/>
  <c r="C49" i="92"/>
  <c r="R50" i="86"/>
  <c r="E49" i="86"/>
  <c r="N58" i="90"/>
  <c r="P57" i="90"/>
  <c r="N59" i="90"/>
  <c r="C37" i="11"/>
  <c r="I118" i="89"/>
  <c r="G118" i="89"/>
  <c r="D21" i="89"/>
  <c r="C21" i="89"/>
  <c r="G21" i="89"/>
  <c r="G118" i="90"/>
  <c r="I118" i="90"/>
  <c r="C21" i="90"/>
  <c r="D21" i="90"/>
  <c r="G21" i="90"/>
  <c r="C50" i="83"/>
  <c r="C49" i="83"/>
  <c r="E54" i="83"/>
  <c r="F54" i="83" s="1"/>
  <c r="E53" i="83"/>
  <c r="F53" i="83" s="1"/>
  <c r="I54" i="83"/>
  <c r="J54" i="83" s="1"/>
  <c r="C34" i="11"/>
  <c r="C35" i="11" s="1"/>
  <c r="C36" i="11"/>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N60" i="90" l="1"/>
  <c r="N61" i="90"/>
  <c r="C50" i="86"/>
  <c r="C49" i="86"/>
  <c r="N60" i="89"/>
  <c r="N61" i="89"/>
  <c r="B3" i="87"/>
  <c r="B2" i="87"/>
  <c r="R24" i="95"/>
  <c r="B3" i="94"/>
  <c r="B2" i="94"/>
  <c r="E53" i="86"/>
  <c r="F53" i="86" s="1"/>
  <c r="E54" i="86"/>
  <c r="F54" i="86" s="1"/>
  <c r="I54" i="86"/>
  <c r="J54" i="86" s="1"/>
  <c r="R8" i="1"/>
  <c r="B2" i="83"/>
  <c r="B3" i="83" s="1"/>
  <c r="A3" i="85"/>
  <c r="U7" i="1" s="1"/>
  <c r="E118" i="90"/>
  <c r="H102" i="90"/>
  <c r="C105" i="90"/>
  <c r="E118" i="89"/>
  <c r="H102" i="89"/>
  <c r="C105" i="89"/>
  <c r="C38" i="1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B2" i="93" l="1"/>
  <c r="B3" i="93" s="1"/>
  <c r="B2" i="86"/>
  <c r="B3" i="86" s="1"/>
  <c r="R26" i="95"/>
  <c r="S26" i="95" s="1"/>
  <c r="R25" i="95"/>
  <c r="S24" i="95"/>
  <c r="G3" i="43"/>
  <c r="K101" i="43" s="1"/>
  <c r="G3" i="100"/>
  <c r="B3" i="85"/>
  <c r="C3" i="85" s="1"/>
  <c r="D3" i="85" s="1"/>
  <c r="Z6" i="1" s="1"/>
  <c r="F49" i="15"/>
  <c r="F22" i="43"/>
  <c r="I5" i="6"/>
  <c r="C49" i="21"/>
  <c r="R16" i="1"/>
  <c r="C22" i="12"/>
  <c r="C33" i="68"/>
  <c r="I63" i="40"/>
  <c r="H65" i="40"/>
  <c r="C39" i="11"/>
  <c r="I70" i="39"/>
  <c r="F31" i="88"/>
  <c r="F59" i="15"/>
  <c r="S25" i="95" l="1"/>
  <c r="A13" i="85"/>
  <c r="I101" i="43"/>
  <c r="S6" i="43"/>
  <c r="T6" i="43" s="1"/>
  <c r="V6" i="43" s="1"/>
  <c r="E101" i="43"/>
  <c r="AA11" i="43"/>
  <c r="AA13" i="43" s="1"/>
  <c r="S22" i="95"/>
  <c r="R22" i="95" s="1"/>
  <c r="B21" i="95" s="1"/>
  <c r="M17" i="15"/>
  <c r="S3" i="43"/>
  <c r="T3" i="43" s="1"/>
  <c r="V3" i="43" s="1"/>
  <c r="S5" i="43"/>
  <c r="T5" i="43" s="1"/>
  <c r="V5" i="43" s="1"/>
  <c r="AB11" i="43"/>
  <c r="AB13" i="43" s="1"/>
  <c r="C101" i="43"/>
  <c r="C106" i="43" s="1"/>
  <c r="J101" i="43"/>
  <c r="S7" i="43"/>
  <c r="T7" i="43" s="1"/>
  <c r="V7" i="43" s="1"/>
  <c r="AC11" i="43"/>
  <c r="AC13" i="43" s="1"/>
  <c r="AD11" i="43"/>
  <c r="AD13" i="43" s="1"/>
  <c r="AI11" i="43"/>
  <c r="AI13" i="43" s="1"/>
  <c r="AJ11" i="43"/>
  <c r="AJ13" i="43" s="1"/>
  <c r="L101" i="43"/>
  <c r="F101" i="43"/>
  <c r="F104" i="43" s="1"/>
  <c r="H101" i="43"/>
  <c r="N101" i="43"/>
  <c r="N102" i="43" s="1"/>
  <c r="C23" i="43"/>
  <c r="C21" i="43" s="1"/>
  <c r="S4" i="43"/>
  <c r="T4" i="43" s="1"/>
  <c r="V4" i="43" s="1"/>
  <c r="Y11" i="43"/>
  <c r="Y13" i="43" s="1"/>
  <c r="AG11" i="43"/>
  <c r="AG13" i="43" s="1"/>
  <c r="Z11" i="43"/>
  <c r="Z13" i="43" s="1"/>
  <c r="AH11" i="43"/>
  <c r="AH13" i="43" s="1"/>
  <c r="AE11" i="43"/>
  <c r="AE13" i="43" s="1"/>
  <c r="Z7" i="43"/>
  <c r="AF11" i="43"/>
  <c r="AF13" i="43" s="1"/>
  <c r="G22" i="43"/>
  <c r="D101" i="43"/>
  <c r="N104" i="46"/>
  <c r="E22" i="43"/>
  <c r="B113" i="43"/>
  <c r="B115" i="43" s="1"/>
  <c r="M101" i="43"/>
  <c r="H22" i="43"/>
  <c r="G101" i="43"/>
  <c r="AG11" i="100"/>
  <c r="AG13" i="100" s="1"/>
  <c r="Y11" i="100"/>
  <c r="Y13" i="100" s="1"/>
  <c r="S6" i="100"/>
  <c r="T6" i="100" s="1"/>
  <c r="V6" i="100" s="1"/>
  <c r="S3" i="100"/>
  <c r="T3" i="100" s="1"/>
  <c r="V3" i="100" s="1"/>
  <c r="S5" i="100"/>
  <c r="T5" i="100" s="1"/>
  <c r="V5" i="100" s="1"/>
  <c r="AC11" i="100"/>
  <c r="AC13" i="100" s="1"/>
  <c r="S2" i="100"/>
  <c r="T2" i="100" s="1"/>
  <c r="V2" i="100" s="1"/>
  <c r="L101" i="100"/>
  <c r="H101" i="100"/>
  <c r="D101" i="100"/>
  <c r="M101" i="100"/>
  <c r="I101" i="100"/>
  <c r="E101" i="100"/>
  <c r="C23" i="100"/>
  <c r="C21" i="100" s="1"/>
  <c r="C29" i="100" s="1"/>
  <c r="G22" i="100"/>
  <c r="AJ11" i="100"/>
  <c r="AJ13" i="100" s="1"/>
  <c r="AF11" i="100"/>
  <c r="AF13" i="100" s="1"/>
  <c r="AB11" i="100"/>
  <c r="AB13" i="100" s="1"/>
  <c r="H22" i="100"/>
  <c r="S4" i="100"/>
  <c r="T4" i="100" s="1"/>
  <c r="V4" i="100" s="1"/>
  <c r="Z7" i="100"/>
  <c r="AA11" i="100"/>
  <c r="AA13" i="100" s="1"/>
  <c r="AI11" i="100"/>
  <c r="AI13" i="100" s="1"/>
  <c r="N101" i="100"/>
  <c r="J101" i="100"/>
  <c r="F101" i="100"/>
  <c r="B113" i="100"/>
  <c r="K101" i="100"/>
  <c r="G101" i="100"/>
  <c r="C101" i="100"/>
  <c r="J22" i="100"/>
  <c r="E22" i="100"/>
  <c r="AH11" i="100"/>
  <c r="AH13" i="100" s="1"/>
  <c r="AD11" i="100"/>
  <c r="AD13" i="100" s="1"/>
  <c r="Z11" i="100"/>
  <c r="Z13" i="100" s="1"/>
  <c r="F22" i="100"/>
  <c r="S7" i="100"/>
  <c r="T7" i="100" s="1"/>
  <c r="V7" i="100" s="1"/>
  <c r="AE11" i="100"/>
  <c r="AE13" i="100" s="1"/>
  <c r="D22" i="43"/>
  <c r="M109" i="43"/>
  <c r="M102" i="43"/>
  <c r="M106" i="43"/>
  <c r="M103" i="43"/>
  <c r="M104" i="43"/>
  <c r="M107" i="43"/>
  <c r="M105" i="43"/>
  <c r="G105" i="43"/>
  <c r="G102" i="43"/>
  <c r="G106" i="43"/>
  <c r="G104" i="43"/>
  <c r="G109" i="43"/>
  <c r="G107" i="43"/>
  <c r="G103" i="43"/>
  <c r="K103" i="43"/>
  <c r="K102" i="43"/>
  <c r="K109" i="43"/>
  <c r="K107" i="43"/>
  <c r="K105" i="43"/>
  <c r="K106" i="43"/>
  <c r="K104" i="43"/>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3" i="43"/>
  <c r="C107" i="43"/>
  <c r="C105" i="43"/>
  <c r="F102" i="43"/>
  <c r="F109" i="43"/>
  <c r="F105" i="43"/>
  <c r="E102" i="43"/>
  <c r="E106" i="43"/>
  <c r="E103" i="43"/>
  <c r="E104" i="43"/>
  <c r="E107" i="43"/>
  <c r="E105" i="43"/>
  <c r="E109" i="43"/>
  <c r="H102" i="43"/>
  <c r="H103" i="43"/>
  <c r="H104" i="43"/>
  <c r="H109" i="43"/>
  <c r="H107" i="43"/>
  <c r="H106" i="43"/>
  <c r="H105" i="43"/>
  <c r="J104" i="43"/>
  <c r="J105" i="43"/>
  <c r="J106" i="43"/>
  <c r="J107" i="43"/>
  <c r="J102" i="43"/>
  <c r="J109" i="43"/>
  <c r="J103" i="43"/>
  <c r="N107" i="43"/>
  <c r="N104" i="43"/>
  <c r="N109" i="43"/>
  <c r="C39" i="68"/>
  <c r="J63" i="40"/>
  <c r="I65" i="40"/>
  <c r="C46" i="11"/>
  <c r="C45" i="11" s="1"/>
  <c r="J70" i="39"/>
  <c r="F13" i="15"/>
  <c r="F43" i="88"/>
  <c r="F36" i="78"/>
  <c r="L48" i="78"/>
  <c r="F42" i="67"/>
  <c r="F16" i="15"/>
  <c r="L47" i="67"/>
  <c r="M28" i="15"/>
  <c r="F36" i="77"/>
  <c r="F43" i="15"/>
  <c r="F26" i="15"/>
  <c r="M29" i="77"/>
  <c r="M9" i="77"/>
  <c r="M9" i="67"/>
  <c r="F9" i="88"/>
  <c r="J15" i="77"/>
  <c r="M24" i="78"/>
  <c r="M28" i="88"/>
  <c r="M23" i="77"/>
  <c r="M28" i="67"/>
  <c r="C14" i="78"/>
  <c r="F8" i="77"/>
  <c r="F8" i="15"/>
  <c r="M26" i="15"/>
  <c r="F38" i="15"/>
  <c r="F9" i="67"/>
  <c r="M22" i="77"/>
  <c r="F40" i="88"/>
  <c r="F35" i="88"/>
  <c r="F26" i="88"/>
  <c r="F7" i="77"/>
  <c r="F7" i="15"/>
  <c r="M8" i="88"/>
  <c r="M21" i="78"/>
  <c r="F38" i="77"/>
  <c r="F37" i="15"/>
  <c r="F42" i="15"/>
  <c r="M6" i="88"/>
  <c r="F35" i="67"/>
  <c r="M8" i="67"/>
  <c r="F36" i="15"/>
  <c r="F38" i="78"/>
  <c r="M21" i="88"/>
  <c r="F6" i="15"/>
  <c r="M26" i="78"/>
  <c r="F13" i="77"/>
  <c r="J15" i="15"/>
  <c r="F7" i="78"/>
  <c r="L48" i="15"/>
  <c r="F9" i="77"/>
  <c r="L48" i="77"/>
  <c r="F38" i="67"/>
  <c r="F13" i="78"/>
  <c r="M29" i="67"/>
  <c r="M26" i="88"/>
  <c r="F7" i="88"/>
  <c r="F8" i="88"/>
  <c r="L47" i="77"/>
  <c r="M22" i="15"/>
  <c r="M29" i="88"/>
  <c r="F42" i="88"/>
  <c r="C14" i="88"/>
  <c r="C76" i="15"/>
  <c r="F16" i="77"/>
  <c r="F43" i="67"/>
  <c r="F37" i="88"/>
  <c r="F8" i="78"/>
  <c r="F37" i="67"/>
  <c r="J15" i="88"/>
  <c r="C76" i="67"/>
  <c r="F36" i="67"/>
  <c r="F36" i="88"/>
  <c r="M28" i="77"/>
  <c r="F6" i="77"/>
  <c r="L48" i="88"/>
  <c r="F40" i="78"/>
  <c r="M21" i="67"/>
  <c r="C76" i="88"/>
  <c r="L47" i="15"/>
  <c r="F16" i="78"/>
  <c r="C14" i="77"/>
  <c r="M24" i="88"/>
  <c r="F6" i="67"/>
  <c r="F40" i="67"/>
  <c r="J15" i="78"/>
  <c r="F35" i="78"/>
  <c r="J15" i="67"/>
  <c r="M8" i="78"/>
  <c r="M8" i="77"/>
  <c r="M6" i="78"/>
  <c r="M6" i="67"/>
  <c r="F26" i="78"/>
  <c r="M26" i="77"/>
  <c r="F16" i="88"/>
  <c r="F13" i="67"/>
  <c r="M21" i="77"/>
  <c r="G1" i="73"/>
  <c r="M28" i="78"/>
  <c r="M24" i="67"/>
  <c r="F37" i="77"/>
  <c r="M9" i="88"/>
  <c r="F8" i="67"/>
  <c r="M8" i="15"/>
  <c r="M21" i="15"/>
  <c r="F35" i="15"/>
  <c r="F40" i="77"/>
  <c r="M24" i="77"/>
  <c r="F13" i="88"/>
  <c r="F38" i="88"/>
  <c r="F37" i="78"/>
  <c r="F42" i="78"/>
  <c r="M23" i="88"/>
  <c r="F42" i="77"/>
  <c r="C76" i="78"/>
  <c r="M9" i="78"/>
  <c r="L47" i="88"/>
  <c r="L47" i="78"/>
  <c r="M22" i="67"/>
  <c r="M23" i="15"/>
  <c r="M9" i="15"/>
  <c r="F40" i="15"/>
  <c r="M23" i="78"/>
  <c r="F26" i="77"/>
  <c r="F43" i="77"/>
  <c r="M22" i="88"/>
  <c r="M23" i="67"/>
  <c r="M29" i="78"/>
  <c r="M26" i="67"/>
  <c r="L48" i="67"/>
  <c r="F9" i="15"/>
  <c r="F43" i="78"/>
  <c r="M22" i="78"/>
  <c r="F35" i="77"/>
  <c r="F6" i="88"/>
  <c r="M24" i="15"/>
  <c r="M29" i="15"/>
  <c r="F26" i="67"/>
  <c r="F7" i="67"/>
  <c r="F9" i="78"/>
  <c r="C76" i="77"/>
  <c r="F16" i="67"/>
  <c r="M27" i="78"/>
  <c r="M6" i="15"/>
  <c r="L56" i="88" l="1"/>
  <c r="L57" i="88"/>
  <c r="J60" i="88"/>
  <c r="Q48" i="88" s="1"/>
  <c r="J53" i="88"/>
  <c r="Q52" i="88" s="1"/>
  <c r="L60" i="88"/>
  <c r="J57" i="88"/>
  <c r="J55" i="88" s="1"/>
  <c r="J58" i="88" s="1"/>
  <c r="Q50" i="88" s="1"/>
  <c r="I54" i="88"/>
  <c r="J59" i="88"/>
  <c r="F51" i="88"/>
  <c r="F63" i="67"/>
  <c r="C62" i="67" s="1"/>
  <c r="C34" i="67"/>
  <c r="C27" i="78"/>
  <c r="F66" i="77"/>
  <c r="F71" i="77"/>
  <c r="C10" i="77"/>
  <c r="C6" i="77"/>
  <c r="M7" i="88"/>
  <c r="J6" i="88" s="1"/>
  <c r="F50" i="88"/>
  <c r="J20" i="78"/>
  <c r="C27" i="77"/>
  <c r="F68" i="77"/>
  <c r="Q71" i="77"/>
  <c r="F64" i="88"/>
  <c r="J10" i="88"/>
  <c r="M7" i="15"/>
  <c r="J10" i="15" s="1"/>
  <c r="F50" i="15"/>
  <c r="F68" i="15"/>
  <c r="F64" i="67"/>
  <c r="F63" i="15"/>
  <c r="C62" i="15" s="1"/>
  <c r="C34" i="15"/>
  <c r="M7" i="77"/>
  <c r="F50" i="77"/>
  <c r="F50" i="67"/>
  <c r="M7" i="67"/>
  <c r="J6" i="67" s="1"/>
  <c r="J5" i="67" s="1"/>
  <c r="J24" i="67" s="1"/>
  <c r="Q71" i="67"/>
  <c r="F66" i="67"/>
  <c r="J20" i="15"/>
  <c r="C27" i="88"/>
  <c r="C27" i="67"/>
  <c r="I54" i="77"/>
  <c r="J53" i="77"/>
  <c r="F1" i="77" s="1"/>
  <c r="J57" i="77"/>
  <c r="J55" i="77" s="1"/>
  <c r="J58" i="77" s="1"/>
  <c r="Q50" i="77" s="1"/>
  <c r="L56" i="77"/>
  <c r="J59" i="77"/>
  <c r="J60" i="77" s="1"/>
  <c r="Q48" i="77" s="1"/>
  <c r="F63" i="78"/>
  <c r="C62" i="78" s="1"/>
  <c r="C34" i="78"/>
  <c r="F63" i="88"/>
  <c r="C62" i="88" s="1"/>
  <c r="C34" i="88"/>
  <c r="C27" i="15"/>
  <c r="F65" i="67"/>
  <c r="F51" i="67"/>
  <c r="C49" i="67" s="1"/>
  <c r="F68" i="88"/>
  <c r="F71" i="15"/>
  <c r="L58" i="78"/>
  <c r="Q60" i="78" s="1"/>
  <c r="M59" i="78"/>
  <c r="N59" i="78"/>
  <c r="L59" i="78"/>
  <c r="F51" i="78"/>
  <c r="I54" i="15"/>
  <c r="J53" i="15"/>
  <c r="Q52" i="15" s="1"/>
  <c r="J57" i="15"/>
  <c r="J55" i="15" s="1"/>
  <c r="J58" i="15" s="1"/>
  <c r="Q50" i="15" s="1"/>
  <c r="L56" i="15"/>
  <c r="F68" i="67"/>
  <c r="F64" i="77"/>
  <c r="C6" i="88"/>
  <c r="C10" i="88"/>
  <c r="M59" i="88"/>
  <c r="L59" i="88"/>
  <c r="Q61" i="88" s="1"/>
  <c r="L58" i="88"/>
  <c r="Q73" i="88" s="1"/>
  <c r="N59" i="88"/>
  <c r="F65" i="88"/>
  <c r="F50" i="78"/>
  <c r="M7" i="78"/>
  <c r="J6" i="78" s="1"/>
  <c r="C6" i="67"/>
  <c r="C5" i="67" s="1"/>
  <c r="C38" i="67" s="1"/>
  <c r="F63" i="77"/>
  <c r="C62" i="77" s="1"/>
  <c r="C34" i="77"/>
  <c r="F71" i="67"/>
  <c r="F65" i="77"/>
  <c r="F66" i="15"/>
  <c r="N59" i="67"/>
  <c r="L59" i="67" s="1"/>
  <c r="Q74" i="67" s="1"/>
  <c r="L58" i="67"/>
  <c r="Q73" i="67" s="1"/>
  <c r="M59" i="67"/>
  <c r="Q71" i="78"/>
  <c r="C15" i="77"/>
  <c r="C18" i="77"/>
  <c r="F71" i="78"/>
  <c r="Q71" i="15"/>
  <c r="F51" i="15"/>
  <c r="F70" i="67"/>
  <c r="C15" i="88"/>
  <c r="C18" i="88"/>
  <c r="C10" i="15"/>
  <c r="C6" i="15"/>
  <c r="B40" i="1"/>
  <c r="F24" i="78" s="1"/>
  <c r="C24" i="78" s="1"/>
  <c r="F65" i="15"/>
  <c r="F51" i="77"/>
  <c r="J53" i="78"/>
  <c r="F1" i="78" s="1"/>
  <c r="J57" i="78"/>
  <c r="J55" i="78" s="1"/>
  <c r="J58" i="78" s="1"/>
  <c r="Q50" i="78" s="1"/>
  <c r="I54" i="78"/>
  <c r="L56" i="78"/>
  <c r="J57" i="67"/>
  <c r="J55" i="67" s="1"/>
  <c r="J58" i="67" s="1"/>
  <c r="Q50" i="67" s="1"/>
  <c r="L56" i="67"/>
  <c r="I54" i="67"/>
  <c r="J20" i="88"/>
  <c r="J20" i="77"/>
  <c r="N59" i="15"/>
  <c r="M59" i="15"/>
  <c r="L59" i="15"/>
  <c r="Q74" i="15" s="1"/>
  <c r="L58" i="15"/>
  <c r="C18" i="78"/>
  <c r="C15" i="78"/>
  <c r="F64" i="78"/>
  <c r="F65" i="78"/>
  <c r="F66" i="78"/>
  <c r="Q71" i="88"/>
  <c r="F71" i="88"/>
  <c r="F66" i="88"/>
  <c r="F64" i="15"/>
  <c r="J20" i="67"/>
  <c r="L59" i="77"/>
  <c r="Q61" i="77" s="1"/>
  <c r="N59" i="77"/>
  <c r="M59" i="77"/>
  <c r="L58" i="77"/>
  <c r="Q60" i="77" s="1"/>
  <c r="F68" i="78"/>
  <c r="Q73" i="78"/>
  <c r="J18" i="67"/>
  <c r="Q73" i="77"/>
  <c r="Q61" i="78"/>
  <c r="Q74" i="78"/>
  <c r="Q52" i="77"/>
  <c r="Q52" i="78"/>
  <c r="F24" i="88"/>
  <c r="C24" i="88" s="1"/>
  <c r="Q61" i="67"/>
  <c r="U9" i="1"/>
  <c r="B13" i="85"/>
  <c r="C13" i="85" s="1"/>
  <c r="D13" i="85" s="1"/>
  <c r="E13" i="85" s="1"/>
  <c r="F13" i="85" s="1"/>
  <c r="Z8" i="1" s="1"/>
  <c r="F49" i="77"/>
  <c r="N103" i="43"/>
  <c r="N106" i="43"/>
  <c r="N105" i="43"/>
  <c r="F107" i="43"/>
  <c r="F106" i="43"/>
  <c r="F103" i="43"/>
  <c r="C102" i="43"/>
  <c r="S2" i="43" s="1"/>
  <c r="T2" i="43" s="1"/>
  <c r="V2" i="43" s="1"/>
  <c r="C109" i="43"/>
  <c r="B116" i="43"/>
  <c r="C116" i="43" s="1"/>
  <c r="I117" i="43"/>
  <c r="J117" i="43" s="1"/>
  <c r="K117" i="43" s="1"/>
  <c r="L117" i="43" s="1"/>
  <c r="M117" i="43" s="1"/>
  <c r="D116" i="43"/>
  <c r="E116" i="43" s="1"/>
  <c r="F116" i="43" s="1"/>
  <c r="G116" i="43" s="1"/>
  <c r="H116" i="43" s="1"/>
  <c r="G118" i="43"/>
  <c r="H118" i="43" s="1"/>
  <c r="I116" i="43"/>
  <c r="J116" i="43" s="1"/>
  <c r="K116" i="43" s="1"/>
  <c r="L116" i="43" s="1"/>
  <c r="M116" i="43" s="1"/>
  <c r="D117" i="43"/>
  <c r="E117" i="43" s="1"/>
  <c r="F117" i="43" s="1"/>
  <c r="G117" i="43" s="1"/>
  <c r="H117" i="43" s="1"/>
  <c r="D118" i="43"/>
  <c r="E118" i="43" s="1"/>
  <c r="F118" i="43" s="1"/>
  <c r="D115" i="43"/>
  <c r="E115" i="43" s="1"/>
  <c r="F115" i="43" s="1"/>
  <c r="G115" i="43" s="1"/>
  <c r="H115" i="43" s="1"/>
  <c r="I118" i="43"/>
  <c r="J118" i="43" s="1"/>
  <c r="K118" i="43" s="1"/>
  <c r="L118" i="43" s="1"/>
  <c r="M118" i="43" s="1"/>
  <c r="B117" i="43"/>
  <c r="C117" i="43" s="1"/>
  <c r="B118" i="43"/>
  <c r="C118" i="43" s="1"/>
  <c r="I115" i="43"/>
  <c r="J115" i="43" s="1"/>
  <c r="K115" i="43" s="1"/>
  <c r="L115" i="43" s="1"/>
  <c r="M115" i="43" s="1"/>
  <c r="D22" i="100"/>
  <c r="C109" i="100"/>
  <c r="C106" i="100"/>
  <c r="C104" i="100"/>
  <c r="C102" i="100"/>
  <c r="C107" i="100"/>
  <c r="C105" i="100"/>
  <c r="C103" i="100"/>
  <c r="K109" i="100"/>
  <c r="K106" i="100"/>
  <c r="K104" i="100"/>
  <c r="K102" i="100"/>
  <c r="K107" i="100"/>
  <c r="K105" i="100"/>
  <c r="K103" i="100"/>
  <c r="F107" i="100"/>
  <c r="F105" i="100"/>
  <c r="F103" i="100"/>
  <c r="F109" i="100"/>
  <c r="F106" i="100"/>
  <c r="F104" i="100"/>
  <c r="F102" i="100"/>
  <c r="N109" i="100"/>
  <c r="N107" i="100"/>
  <c r="N105" i="100"/>
  <c r="N103" i="100"/>
  <c r="N106" i="100"/>
  <c r="N104" i="100"/>
  <c r="N102" i="100"/>
  <c r="C30" i="100"/>
  <c r="E30" i="100" s="1"/>
  <c r="C27" i="100" s="1"/>
  <c r="E29" i="100"/>
  <c r="C26" i="100" s="1"/>
  <c r="B2" i="100" s="1"/>
  <c r="B3" i="100" s="1"/>
  <c r="I107" i="100"/>
  <c r="I105" i="100"/>
  <c r="I103" i="100"/>
  <c r="I109" i="100"/>
  <c r="I106" i="100"/>
  <c r="I104" i="100"/>
  <c r="I102" i="100"/>
  <c r="D109" i="100"/>
  <c r="D107" i="100"/>
  <c r="D105" i="100"/>
  <c r="D103" i="100"/>
  <c r="D106" i="100"/>
  <c r="D104" i="100"/>
  <c r="D102" i="100"/>
  <c r="L109" i="100"/>
  <c r="L107" i="100"/>
  <c r="L105" i="100"/>
  <c r="L103" i="100"/>
  <c r="L106" i="100"/>
  <c r="L104" i="100"/>
  <c r="L102" i="100"/>
  <c r="G109" i="100"/>
  <c r="G106" i="100"/>
  <c r="G104" i="100"/>
  <c r="G102" i="100"/>
  <c r="G107" i="100"/>
  <c r="G105" i="100"/>
  <c r="G103" i="100"/>
  <c r="G118" i="100"/>
  <c r="H118" i="100" s="1"/>
  <c r="I116" i="100"/>
  <c r="J116" i="100" s="1"/>
  <c r="K116" i="100" s="1"/>
  <c r="L116" i="100" s="1"/>
  <c r="M116" i="100" s="1"/>
  <c r="D118" i="100"/>
  <c r="E118" i="100" s="1"/>
  <c r="F118" i="100" s="1"/>
  <c r="D117" i="100"/>
  <c r="E117" i="100" s="1"/>
  <c r="F117" i="100" s="1"/>
  <c r="G117" i="100" s="1"/>
  <c r="H117" i="100" s="1"/>
  <c r="D116" i="100"/>
  <c r="E116" i="100" s="1"/>
  <c r="F116" i="100" s="1"/>
  <c r="G116" i="100" s="1"/>
  <c r="H116" i="100" s="1"/>
  <c r="D115" i="100"/>
  <c r="E115" i="100" s="1"/>
  <c r="F115" i="100" s="1"/>
  <c r="G115" i="100" s="1"/>
  <c r="H115" i="100" s="1"/>
  <c r="I118" i="100"/>
  <c r="J118" i="100" s="1"/>
  <c r="K118" i="100" s="1"/>
  <c r="L118" i="100" s="1"/>
  <c r="M118" i="100" s="1"/>
  <c r="I117" i="100"/>
  <c r="J117" i="100" s="1"/>
  <c r="K117" i="100" s="1"/>
  <c r="L117" i="100" s="1"/>
  <c r="M117" i="100" s="1"/>
  <c r="I115" i="100"/>
  <c r="J115" i="100" s="1"/>
  <c r="K115" i="100" s="1"/>
  <c r="L115" i="100" s="1"/>
  <c r="M115" i="100" s="1"/>
  <c r="B118" i="100"/>
  <c r="C118" i="100" s="1"/>
  <c r="B117" i="100"/>
  <c r="C117" i="100" s="1"/>
  <c r="B116" i="100"/>
  <c r="C116" i="100" s="1"/>
  <c r="B115" i="100"/>
  <c r="J107" i="100"/>
  <c r="J105" i="100"/>
  <c r="J103" i="100"/>
  <c r="J109" i="100"/>
  <c r="J106" i="100"/>
  <c r="J104" i="100"/>
  <c r="J102" i="100"/>
  <c r="E107" i="100"/>
  <c r="E105" i="100"/>
  <c r="E103" i="100"/>
  <c r="E109" i="100"/>
  <c r="E106" i="100"/>
  <c r="E104" i="100"/>
  <c r="E102" i="100"/>
  <c r="M107" i="100"/>
  <c r="M105" i="100"/>
  <c r="M103" i="100"/>
  <c r="M109" i="100"/>
  <c r="M106" i="100"/>
  <c r="M104" i="100"/>
  <c r="M102" i="100"/>
  <c r="H109" i="100"/>
  <c r="H107" i="100"/>
  <c r="H105" i="100"/>
  <c r="H103" i="100"/>
  <c r="H106" i="100"/>
  <c r="H104" i="100"/>
  <c r="H102" i="100"/>
  <c r="E29" i="43"/>
  <c r="C30" i="43"/>
  <c r="E30" i="43" s="1"/>
  <c r="C27" i="43" s="1"/>
  <c r="C115" i="43"/>
  <c r="L57" i="77"/>
  <c r="L60" i="77" s="1"/>
  <c r="Q57" i="77" s="1"/>
  <c r="C46" i="68"/>
  <c r="C45" i="68" s="1"/>
  <c r="K63" i="40"/>
  <c r="J65" i="40"/>
  <c r="K70" i="39"/>
  <c r="C17" i="15"/>
  <c r="C16" i="78"/>
  <c r="C16" i="67"/>
  <c r="E6" i="76"/>
  <c r="C16" i="88"/>
  <c r="C17" i="77"/>
  <c r="C17" i="78"/>
  <c r="F6" i="78"/>
  <c r="C16" i="77"/>
  <c r="C17" i="88"/>
  <c r="C16" i="15"/>
  <c r="M6" i="77"/>
  <c r="AE9" i="1"/>
  <c r="Q60" i="88" l="1"/>
  <c r="J5" i="88"/>
  <c r="Q60" i="67"/>
  <c r="C32" i="67"/>
  <c r="F22" i="69"/>
  <c r="C44" i="69" s="1"/>
  <c r="D41" i="69" s="1"/>
  <c r="Q74" i="88"/>
  <c r="F25" i="12"/>
  <c r="C26" i="12" s="1"/>
  <c r="D25" i="12" s="1"/>
  <c r="Q61" i="15"/>
  <c r="F1" i="15"/>
  <c r="L46" i="88"/>
  <c r="D113" i="43"/>
  <c r="J22" i="43" s="1"/>
  <c r="Q74" i="77"/>
  <c r="F1" i="88"/>
  <c r="C5" i="77"/>
  <c r="C38" i="77" s="1"/>
  <c r="F24" i="67"/>
  <c r="C24" i="67" s="1"/>
  <c r="F24" i="77"/>
  <c r="C24" i="77" s="1"/>
  <c r="F24" i="15"/>
  <c r="C24" i="15" s="1"/>
  <c r="F22" i="68"/>
  <c r="C43" i="68" s="1"/>
  <c r="F22" i="11"/>
  <c r="C24" i="11" s="1"/>
  <c r="C5" i="15"/>
  <c r="J10" i="78"/>
  <c r="J5" i="78" s="1"/>
  <c r="J18" i="78" s="1"/>
  <c r="C19" i="88"/>
  <c r="C19" i="77"/>
  <c r="C20" i="77" s="1"/>
  <c r="C26" i="77" s="1"/>
  <c r="C19" i="78"/>
  <c r="Q73" i="15"/>
  <c r="Q60" i="15"/>
  <c r="C49" i="78"/>
  <c r="C48" i="78" s="1"/>
  <c r="C49" i="88"/>
  <c r="C48" i="88" s="1"/>
  <c r="Q57" i="88"/>
  <c r="Q66" i="88"/>
  <c r="J6" i="15"/>
  <c r="J5" i="15" s="1"/>
  <c r="J18" i="15" s="1"/>
  <c r="C53" i="15"/>
  <c r="C49" i="15"/>
  <c r="C5" i="88"/>
  <c r="C26" i="69"/>
  <c r="D22" i="69" s="1"/>
  <c r="C24" i="68"/>
  <c r="C42" i="68"/>
  <c r="C41" i="68" s="1"/>
  <c r="C32" i="15"/>
  <c r="C38" i="15"/>
  <c r="C6" i="78"/>
  <c r="C10" i="78"/>
  <c r="J10" i="77"/>
  <c r="J6" i="77"/>
  <c r="C53" i="77"/>
  <c r="C49" i="77"/>
  <c r="C115" i="100"/>
  <c r="D113" i="100" s="1"/>
  <c r="C26" i="43"/>
  <c r="B2" i="43" s="1"/>
  <c r="C6" i="68"/>
  <c r="E2" i="76"/>
  <c r="L46" i="77"/>
  <c r="Q66" i="77"/>
  <c r="L57" i="78"/>
  <c r="L60" i="78" s="1"/>
  <c r="L63" i="40"/>
  <c r="K65" i="40"/>
  <c r="L70" i="39"/>
  <c r="E2" i="70"/>
  <c r="C34" i="69"/>
  <c r="C17" i="67"/>
  <c r="B6" i="76"/>
  <c r="C25" i="11" l="1"/>
  <c r="C22" i="11" s="1"/>
  <c r="J24" i="88"/>
  <c r="J26" i="88"/>
  <c r="J18" i="88"/>
  <c r="C44" i="68"/>
  <c r="D41" i="68" s="1"/>
  <c r="C32" i="77"/>
  <c r="C26" i="68"/>
  <c r="D22" i="68" s="1"/>
  <c r="C42" i="11"/>
  <c r="C26" i="11"/>
  <c r="D22" i="11" s="1"/>
  <c r="C23" i="11"/>
  <c r="C43" i="11"/>
  <c r="C44" i="11"/>
  <c r="D41" i="11" s="1"/>
  <c r="C49" i="68"/>
  <c r="C51" i="68" s="1"/>
  <c r="C23" i="77"/>
  <c r="C29" i="77" s="1"/>
  <c r="Q49" i="77" s="1"/>
  <c r="J24" i="78"/>
  <c r="J26" i="78"/>
  <c r="C38" i="88"/>
  <c r="C32" i="88"/>
  <c r="C60" i="78"/>
  <c r="C66" i="78"/>
  <c r="J24" i="15"/>
  <c r="C60" i="88"/>
  <c r="C66" i="88"/>
  <c r="C20" i="78"/>
  <c r="C26" i="78" s="1"/>
  <c r="C20" i="88"/>
  <c r="C23" i="88" s="1"/>
  <c r="J5" i="77"/>
  <c r="J18" i="77" s="1"/>
  <c r="C48" i="77"/>
  <c r="C60" i="77" s="1"/>
  <c r="C5" i="78"/>
  <c r="C7" i="68"/>
  <c r="C5" i="68" s="1"/>
  <c r="B2" i="76"/>
  <c r="B3" i="76" s="1"/>
  <c r="B3" i="43"/>
  <c r="Q57" i="78"/>
  <c r="Q66" i="78"/>
  <c r="M63" i="40"/>
  <c r="L65" i="40"/>
  <c r="M70" i="39"/>
  <c r="C35" i="69"/>
  <c r="C38" i="69"/>
  <c r="D10" i="69"/>
  <c r="C41" i="11" l="1"/>
  <c r="C49" i="11" s="1"/>
  <c r="C51" i="11" s="1"/>
  <c r="C31" i="11"/>
  <c r="J14" i="77"/>
  <c r="J22" i="77" s="1"/>
  <c r="C36" i="77"/>
  <c r="C57" i="77"/>
  <c r="C26" i="88"/>
  <c r="C29" i="88" s="1"/>
  <c r="C23" i="78"/>
  <c r="C29" i="78" s="1"/>
  <c r="C57" i="78" s="1"/>
  <c r="C33" i="77"/>
  <c r="C31" i="77" s="1"/>
  <c r="J19" i="77"/>
  <c r="J17" i="77" s="1"/>
  <c r="C13" i="77"/>
  <c r="C52" i="11"/>
  <c r="J59" i="78"/>
  <c r="J60" i="78" s="1"/>
  <c r="C64" i="77"/>
  <c r="C61" i="77"/>
  <c r="C59" i="77" s="1"/>
  <c r="J24" i="77"/>
  <c r="C66" i="77"/>
  <c r="C32" i="78"/>
  <c r="C38" i="78"/>
  <c r="C23" i="68"/>
  <c r="C20" i="68"/>
  <c r="N63" i="40"/>
  <c r="M65" i="40"/>
  <c r="O70" i="39"/>
  <c r="N70" i="39"/>
  <c r="D19" i="69"/>
  <c r="C10" i="69"/>
  <c r="C8" i="69" s="1"/>
  <c r="C5" i="69" s="1"/>
  <c r="Q49" i="78" l="1"/>
  <c r="C33" i="78"/>
  <c r="C31" i="78" s="1"/>
  <c r="J13" i="77"/>
  <c r="J23" i="77" s="1"/>
  <c r="J16" i="77" s="1"/>
  <c r="J25" i="77" s="1"/>
  <c r="C36" i="78"/>
  <c r="J19" i="78"/>
  <c r="J17" i="78" s="1"/>
  <c r="J14" i="78"/>
  <c r="J22" i="78" s="1"/>
  <c r="C13" i="78"/>
  <c r="Q70" i="78" s="1"/>
  <c r="C75" i="77"/>
  <c r="C37" i="77"/>
  <c r="C30" i="77" s="1"/>
  <c r="C39" i="77" s="1"/>
  <c r="Q70" i="77"/>
  <c r="C56" i="77"/>
  <c r="C65" i="77" s="1"/>
  <c r="C33" i="88"/>
  <c r="C31" i="88" s="1"/>
  <c r="J14" i="88"/>
  <c r="J19" i="88"/>
  <c r="J17" i="88" s="1"/>
  <c r="C36" i="88"/>
  <c r="C13" i="88"/>
  <c r="C57" i="88"/>
  <c r="Q49" i="88"/>
  <c r="J13" i="78"/>
  <c r="J23" i="78" s="1"/>
  <c r="C64" i="78"/>
  <c r="C61" i="78"/>
  <c r="C59" i="78" s="1"/>
  <c r="Q48" i="78"/>
  <c r="L46" i="78"/>
  <c r="B2" i="11"/>
  <c r="B3" i="11" s="1"/>
  <c r="C56" i="11"/>
  <c r="C57" i="11" s="1"/>
  <c r="C58" i="77"/>
  <c r="C67" i="77" s="1"/>
  <c r="C28" i="68"/>
  <c r="C27" i="68" s="1"/>
  <c r="C25" i="68"/>
  <c r="C22" i="68" s="1"/>
  <c r="O63" i="40"/>
  <c r="O65" i="40" s="1"/>
  <c r="N65" i="40"/>
  <c r="C23" i="69"/>
  <c r="C19" i="69"/>
  <c r="C24" i="69" s="1"/>
  <c r="D37" i="69"/>
  <c r="C37" i="69" s="1"/>
  <c r="C33" i="69" s="1"/>
  <c r="C14" i="67"/>
  <c r="L51" i="77"/>
  <c r="C37" i="78" l="1"/>
  <c r="C30" i="78" s="1"/>
  <c r="C39" i="78" s="1"/>
  <c r="Q69" i="78" s="1"/>
  <c r="Q68" i="78" s="1"/>
  <c r="C56" i="78"/>
  <c r="C65" i="78" s="1"/>
  <c r="C58" i="78" s="1"/>
  <c r="C67" i="78" s="1"/>
  <c r="C75" i="78"/>
  <c r="C80" i="77"/>
  <c r="C79" i="77" s="1"/>
  <c r="Q67" i="77"/>
  <c r="J16" i="78"/>
  <c r="J25" i="78" s="1"/>
  <c r="Q69" i="77"/>
  <c r="Q68" i="77" s="1"/>
  <c r="C64" i="88"/>
  <c r="C61" i="88"/>
  <c r="C59" i="88" s="1"/>
  <c r="J13" i="88"/>
  <c r="J23" i="88" s="1"/>
  <c r="J22" i="88"/>
  <c r="C75" i="88"/>
  <c r="C37" i="88"/>
  <c r="C30" i="88" s="1"/>
  <c r="C39" i="88" s="1"/>
  <c r="C56" i="88"/>
  <c r="C65" i="88" s="1"/>
  <c r="Q70" i="88"/>
  <c r="C31" i="68"/>
  <c r="C52" i="68" s="1"/>
  <c r="C57" i="68" s="1"/>
  <c r="C56" i="68" s="1"/>
  <c r="F7" i="40"/>
  <c r="H7" i="40"/>
  <c r="J7" i="40"/>
  <c r="C15" i="67"/>
  <c r="C18" i="67"/>
  <c r="C42" i="69"/>
  <c r="C39" i="69"/>
  <c r="C43" i="69" s="1"/>
  <c r="C20" i="69"/>
  <c r="C25" i="69" s="1"/>
  <c r="C22" i="69" s="1"/>
  <c r="L51" i="78"/>
  <c r="C80" i="78" l="1"/>
  <c r="C79" i="78" s="1"/>
  <c r="J16" i="88"/>
  <c r="J25" i="88" s="1"/>
  <c r="C80" i="88"/>
  <c r="C79" i="88" s="1"/>
  <c r="Q69" i="88"/>
  <c r="Q68" i="88" s="1"/>
  <c r="C58" i="88"/>
  <c r="C67" i="88" s="1"/>
  <c r="Q67" i="78"/>
  <c r="W7" i="40"/>
  <c r="AC7" i="40"/>
  <c r="V42" i="40" s="1"/>
  <c r="I42" i="40" s="1"/>
  <c r="AB7" i="40"/>
  <c r="T42" i="40" s="1"/>
  <c r="G42" i="40" s="1"/>
  <c r="U7" i="40"/>
  <c r="AA7" i="40"/>
  <c r="R42" i="40" s="1"/>
  <c r="S7" i="40"/>
  <c r="C19" i="67"/>
  <c r="C46" i="69"/>
  <c r="C45" i="69" s="1"/>
  <c r="C41" i="69"/>
  <c r="C28" i="69"/>
  <c r="C27" i="69" s="1"/>
  <c r="C31" i="69" s="1"/>
  <c r="L51" i="88"/>
  <c r="Q67" i="88" l="1"/>
  <c r="C20" i="67"/>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F41" i="78"/>
  <c r="L51" i="67"/>
  <c r="C14" i="15"/>
  <c r="AE7" i="1"/>
  <c r="F69" i="78" l="1"/>
  <c r="C68" i="78" s="1"/>
  <c r="J29" i="78"/>
  <c r="C40" i="78"/>
  <c r="AG7" i="1"/>
  <c r="L57" i="67"/>
  <c r="L60" i="67" s="1"/>
  <c r="L46" i="67" s="1"/>
  <c r="C80" i="67"/>
  <c r="C79" i="67" s="1"/>
  <c r="Q69" i="67"/>
  <c r="Q68" i="67" s="1"/>
  <c r="Q67" i="67"/>
  <c r="C59" i="67"/>
  <c r="C66" i="67"/>
  <c r="T16" i="1"/>
  <c r="C18" i="15"/>
  <c r="C15" i="15"/>
  <c r="F41" i="88"/>
  <c r="M27" i="88"/>
  <c r="F69" i="88" l="1"/>
  <c r="C68" i="88" s="1"/>
  <c r="C71" i="88" s="1"/>
  <c r="C40" i="88"/>
  <c r="C83" i="88" s="1"/>
  <c r="C82" i="88" s="1"/>
  <c r="J29" i="88"/>
  <c r="Q56" i="78"/>
  <c r="Q62" i="78" s="1"/>
  <c r="Q47" i="78"/>
  <c r="Q53" i="78" s="1"/>
  <c r="C43" i="78"/>
  <c r="B2" i="78"/>
  <c r="D8" i="12" s="1"/>
  <c r="C83" i="78"/>
  <c r="C82" i="78" s="1"/>
  <c r="Q65" i="78"/>
  <c r="Q75" i="78" s="1"/>
  <c r="C71" i="78"/>
  <c r="C46" i="78"/>
  <c r="Q66" i="67"/>
  <c r="Q57" i="67"/>
  <c r="C58" i="67"/>
  <c r="C67" i="67" s="1"/>
  <c r="C19" i="15"/>
  <c r="AO9" i="1"/>
  <c r="Q65" i="88" l="1"/>
  <c r="Q75" i="88" s="1"/>
  <c r="C46" i="88"/>
  <c r="Q56" i="88"/>
  <c r="Q62" i="88" s="1"/>
  <c r="C43" i="88"/>
  <c r="Q47" i="88"/>
  <c r="Q53" i="88" s="1"/>
  <c r="B2" i="88"/>
  <c r="B3" i="88" s="1"/>
  <c r="B9" i="70"/>
  <c r="B3" i="78"/>
  <c r="D6" i="1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6" i="1"/>
  <c r="AE8" i="1"/>
  <c r="C28" i="96" l="1"/>
  <c r="AG8" i="1"/>
  <c r="C66" i="15"/>
  <c r="C60" i="15"/>
  <c r="C59" i="15" s="1"/>
  <c r="AG6" i="1"/>
  <c r="C80" i="15"/>
  <c r="C79" i="15" s="1"/>
  <c r="C65" i="15"/>
  <c r="Q68" i="15"/>
  <c r="L57" i="15"/>
  <c r="L60" i="15" s="1"/>
  <c r="M27" i="77"/>
  <c r="L51" i="15"/>
  <c r="F41" i="15"/>
  <c r="F41" i="67"/>
  <c r="F41" i="77"/>
  <c r="M27" i="15"/>
  <c r="M27" i="67"/>
  <c r="D28" i="96" l="1"/>
  <c r="Q67" i="15"/>
  <c r="C40" i="77"/>
  <c r="C83" i="77" s="1"/>
  <c r="C82" i="77" s="1"/>
  <c r="F69" i="77"/>
  <c r="C68" i="77" s="1"/>
  <c r="C71" i="77" s="1"/>
  <c r="J26" i="77"/>
  <c r="J29" i="77" s="1"/>
  <c r="J26" i="15"/>
  <c r="J29" i="15" s="1"/>
  <c r="J26" i="67"/>
  <c r="J29" i="67" s="1"/>
  <c r="C58" i="15"/>
  <c r="C67" i="15" s="1"/>
  <c r="F69" i="15"/>
  <c r="C40" i="15"/>
  <c r="C43" i="15" s="1"/>
  <c r="L46" i="15"/>
  <c r="Q57" i="15"/>
  <c r="Q66" i="15"/>
  <c r="F69" i="67"/>
  <c r="C68" i="67" s="1"/>
  <c r="C71" i="67" s="1"/>
  <c r="C40" i="67"/>
  <c r="C83" i="67" s="1"/>
  <c r="C82" i="67" s="1"/>
  <c r="C43" i="77" l="1"/>
  <c r="C46" i="77"/>
  <c r="Q47" i="77"/>
  <c r="Q53" i="77" s="1"/>
  <c r="Q65" i="77"/>
  <c r="Q75" i="77" s="1"/>
  <c r="Q56" i="77"/>
  <c r="Q62" i="77" s="1"/>
  <c r="B2" i="77"/>
  <c r="C3" i="96" s="1"/>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F20" i="91"/>
  <c r="AO8" i="1"/>
  <c r="F20" i="95"/>
  <c r="E2" i="69"/>
  <c r="AO6" i="1"/>
  <c r="B20" i="95" l="1"/>
  <c r="B3" i="77"/>
  <c r="C2" i="96"/>
  <c r="B3" i="15"/>
  <c r="C3" i="93"/>
  <c r="B8" i="70"/>
  <c r="B7" i="70"/>
  <c r="B6" i="70"/>
  <c r="C46" i="15"/>
  <c r="B2" i="69"/>
  <c r="B3" i="69" s="1"/>
  <c r="B2" i="68"/>
  <c r="B3" i="67"/>
  <c r="F20" i="31"/>
  <c r="D2" i="37"/>
  <c r="D2" i="36"/>
  <c r="D2" i="34"/>
  <c r="D2" i="33"/>
  <c r="D2" i="21"/>
  <c r="E2" i="68"/>
  <c r="D2" i="35"/>
  <c r="C19" i="9"/>
  <c r="B4" i="93" l="1"/>
  <c r="B6" i="93"/>
  <c r="C2" i="93"/>
  <c r="B20" i="31"/>
  <c r="B2" i="36"/>
  <c r="B3" i="36" s="1"/>
  <c r="B2" i="35"/>
  <c r="B3" i="35" s="1"/>
  <c r="B2" i="37"/>
  <c r="B3" i="37" s="1"/>
  <c r="B2" i="34"/>
  <c r="B3" i="34" s="1"/>
  <c r="B2" i="21"/>
  <c r="B3" i="21" s="1"/>
  <c r="B2" i="70"/>
  <c r="B3" i="70" s="1"/>
  <c r="C102" i="9"/>
  <c r="C21" i="9"/>
  <c r="B3" i="68"/>
  <c r="C20" i="9"/>
  <c r="B7" i="93" l="1"/>
  <c r="B13" i="96" s="1"/>
  <c r="C13" i="96"/>
  <c r="C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91"/>
  <c r="G52" i="39"/>
  <c r="H52" i="39" s="1"/>
  <c r="G51" i="39"/>
  <c r="H51" i="39" s="1"/>
  <c r="I51" i="39"/>
  <c r="J51" i="39" s="1"/>
  <c r="W7" i="39"/>
  <c r="U7" i="39"/>
  <c r="AA7" i="39"/>
  <c r="R47" i="39" s="1"/>
  <c r="S24" i="91" l="1"/>
  <c r="R28" i="91"/>
  <c r="S28" i="91" s="1"/>
  <c r="R26" i="91"/>
  <c r="S26" i="91" s="1"/>
  <c r="R27" i="91"/>
  <c r="S27" i="91" s="1"/>
  <c r="R25" i="91"/>
  <c r="R48" i="39"/>
  <c r="E47" i="39"/>
  <c r="S25" i="91" l="1"/>
  <c r="B2" i="96"/>
  <c r="C48" i="39"/>
  <c r="C47" i="39"/>
  <c r="E51" i="39"/>
  <c r="F51" i="39" s="1"/>
  <c r="E52" i="39"/>
  <c r="F52" i="39" s="1"/>
  <c r="I52" i="39"/>
  <c r="J52" i="39" s="1"/>
  <c r="S22" i="91" l="1"/>
  <c r="R22" i="91" s="1"/>
  <c r="B21" i="91" s="1"/>
  <c r="C6" i="12" s="1"/>
  <c r="B3" i="96"/>
  <c r="B4" i="96"/>
  <c r="B6" i="96"/>
  <c r="B61" i="39"/>
  <c r="F61" i="39" s="1"/>
  <c r="B60" i="39"/>
  <c r="F60" i="39" s="1"/>
  <c r="B56" i="39"/>
  <c r="F56" i="39" s="1"/>
  <c r="B58" i="39"/>
  <c r="F58" i="39" s="1"/>
  <c r="B59" i="39"/>
  <c r="F59" i="39" s="1"/>
  <c r="B64" i="39"/>
  <c r="F64" i="39" s="1"/>
  <c r="B65" i="39"/>
  <c r="F65" i="39" s="1"/>
  <c r="B57" i="39"/>
  <c r="F57" i="39" s="1"/>
  <c r="B63" i="39"/>
  <c r="F63" i="39" s="1"/>
  <c r="B62" i="39"/>
  <c r="F62" i="39" s="1"/>
  <c r="B20" i="91" l="1"/>
  <c r="C8" i="12" s="1"/>
  <c r="C4" i="12" s="1"/>
  <c r="B7" i="96"/>
  <c r="B14" i="96" s="1"/>
  <c r="B21" i="96" s="1"/>
  <c r="C14" i="96"/>
  <c r="C15" i="96" s="1"/>
  <c r="C29" i="96" s="1"/>
  <c r="C23" i="12"/>
  <c r="C31" i="12"/>
  <c r="F66" i="39"/>
  <c r="B2" i="39" s="1"/>
  <c r="B3" i="39" s="1"/>
  <c r="D35" i="9"/>
  <c r="E15" i="96" l="1"/>
  <c r="D29" i="96" s="1"/>
  <c r="C30" i="12"/>
  <c r="C28" i="12" s="1"/>
  <c r="C27" i="12"/>
  <c r="C25" i="12" s="1"/>
  <c r="C32" i="12" l="1"/>
  <c r="B2" i="12" s="1"/>
  <c r="D19" i="9"/>
  <c r="G19" i="9" l="1"/>
  <c r="D22" i="9"/>
  <c r="D102" i="9"/>
  <c r="D21" i="9"/>
  <c r="B3" i="12"/>
  <c r="H112" i="9"/>
  <c r="D21" i="53" s="1"/>
  <c r="B39" i="72" s="1"/>
  <c r="H111" i="9"/>
  <c r="D126" i="9" s="1"/>
  <c r="D59" i="9"/>
  <c r="M55" i="9" s="1"/>
  <c r="D20" i="9"/>
  <c r="G20" i="9" l="1"/>
  <c r="D103" i="9"/>
  <c r="C32" i="9"/>
  <c r="H118" i="9" s="1"/>
  <c r="C104" i="9" s="1"/>
  <c r="G21" i="9"/>
  <c r="D19" i="53"/>
  <c r="B38" i="72" s="1"/>
  <c r="I14" i="74"/>
  <c r="B8" i="74" s="1"/>
  <c r="D127" i="9"/>
  <c r="D13" i="52" s="1"/>
  <c r="D12" i="52"/>
  <c r="D20" i="53" l="1"/>
  <c r="B40" i="72" s="1"/>
  <c r="C35" i="9"/>
  <c r="F118" i="9" s="1"/>
  <c r="G118" i="9" s="1"/>
  <c r="G4" i="52" s="1"/>
  <c r="D8" i="74"/>
  <c r="C8" i="74"/>
  <c r="H101" i="9"/>
  <c r="M48" i="9" s="1"/>
  <c r="I118" i="9"/>
  <c r="C105" i="9" s="1"/>
  <c r="H119" i="9"/>
  <c r="H5" i="52" s="1"/>
  <c r="D14" i="74"/>
  <c r="H4" i="52"/>
  <c r="B52" i="72" l="1"/>
  <c r="H107" i="9"/>
  <c r="M49" i="9" s="1"/>
  <c r="L66" i="9" s="1"/>
  <c r="M66" i="9" s="1"/>
  <c r="F119" i="9"/>
  <c r="F5" i="52" s="1"/>
  <c r="F4" i="52"/>
  <c r="C34" i="9"/>
  <c r="D118" i="9" s="1"/>
  <c r="D45" i="9"/>
  <c r="D53" i="9" s="1"/>
  <c r="I4" i="52"/>
  <c r="D5" i="53"/>
  <c r="H102" i="9"/>
  <c r="D7" i="53" s="1"/>
  <c r="E118" i="9"/>
  <c r="E4" i="52" s="1"/>
  <c r="E14" i="74"/>
  <c r="B5" i="74"/>
  <c r="F14" i="74"/>
  <c r="B21" i="72" l="1"/>
  <c r="B53" i="72"/>
  <c r="B48" i="72"/>
  <c r="B20" i="72"/>
  <c r="B51" i="72"/>
  <c r="D13" i="53"/>
  <c r="D122" i="9"/>
  <c r="D123" i="9" s="1"/>
  <c r="D9" i="52" s="1"/>
  <c r="L68" i="9"/>
  <c r="M68" i="9" s="1"/>
  <c r="H108" i="9"/>
  <c r="D15" i="53" s="1"/>
  <c r="L64" i="9"/>
  <c r="M64" i="9" s="1"/>
  <c r="L63" i="9"/>
  <c r="M63" i="9" s="1"/>
  <c r="L67" i="9"/>
  <c r="M67" i="9" s="1"/>
  <c r="L65" i="9"/>
  <c r="M65" i="9" s="1"/>
  <c r="D119" i="9"/>
  <c r="D5" i="52" s="1"/>
  <c r="D4" i="52"/>
  <c r="C93" i="9"/>
  <c r="C86" i="9" s="1"/>
  <c r="D52" i="9"/>
  <c r="C78" i="9"/>
  <c r="C73" i="9" s="1"/>
  <c r="C85" i="9"/>
  <c r="C72" i="9"/>
  <c r="D55" i="9"/>
  <c r="M53" i="9" s="1"/>
  <c r="C64" i="9"/>
  <c r="C63" i="9" s="1"/>
  <c r="D6" i="53"/>
  <c r="D5" i="74"/>
  <c r="C5" i="74"/>
  <c r="D14" i="53"/>
  <c r="G14" i="74"/>
  <c r="B6" i="74" s="1"/>
  <c r="B22" i="72" l="1"/>
  <c r="B47" i="72"/>
  <c r="B31" i="72"/>
  <c r="B32" i="72"/>
  <c r="B49" i="72"/>
  <c r="B30" i="72"/>
  <c r="D8" i="52"/>
  <c r="M69" i="9"/>
  <c r="N69" i="9" s="1"/>
  <c r="C95" i="9"/>
  <c r="C67" i="9"/>
  <c r="C68" i="9" s="1"/>
  <c r="D54" i="9" s="1"/>
  <c r="C79" i="9"/>
  <c r="D6" i="74"/>
  <c r="C6" i="74"/>
  <c r="C96" i="9" l="1"/>
  <c r="E96" i="9" s="1"/>
  <c r="E97" i="9" s="1"/>
  <c r="C80" i="9"/>
  <c r="E80" i="9" s="1"/>
  <c r="E81" i="9" s="1"/>
  <c r="C97" i="9" l="1"/>
  <c r="D58" i="9" s="1"/>
  <c r="D56" i="9" s="1"/>
  <c r="M54" i="9" s="1"/>
  <c r="N57" i="9" s="1"/>
  <c r="P57" i="9" s="1"/>
  <c r="C81" i="9"/>
  <c r="N59" i="9" l="1"/>
  <c r="N58" i="9"/>
  <c r="N60" i="9" l="1"/>
  <c r="N61" i="9"/>
  <c r="C17" i="96" l="1"/>
  <c r="C19" i="96" l="1"/>
  <c r="E19" i="96" s="1"/>
  <c r="E17" i="96"/>
  <c r="B17" i="96" l="1"/>
  <c r="B32" i="96" l="1"/>
  <c r="B31" i="9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<sst xmlns="http://schemas.openxmlformats.org/spreadsheetml/2006/main" count="12346" uniqueCount="3638">
  <si>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</si>
  <si>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</si>
  <si>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</si>
  <si>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</si>
  <si>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</si>
  <si>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</si>
  <si>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</si>
  <si>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</si>
  <si>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</si>
  <si>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</si>
  <si>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</si>
  <si>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</si>
  <si>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</si>
  <si>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</si>
  <si>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</si>
  <si>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</si>
  <si>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</si>
  <si>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</si>
  <si>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</si>
  <si>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</si>
  <si>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</si>
  <si>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</si>
  <si>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</si>
  <si>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</si>
  <si>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</si>
  <si>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</si>
  <si>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</si>
  <si>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</si>
  <si>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</si>
  <si>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</si>
  <si>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</si>
  <si>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</si>
  <si>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</si>
  <si>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</si>
  <si>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</si>
  <si>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</si>
  <si>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</si>
  <si>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</si>
  <si>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</si>
  <si>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</si>
  <si>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</si>
  <si>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</si>
  <si>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</si>
  <si>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</si>
  <si>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</si>
  <si>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</si>
  <si>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</si>
  <si>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</si>
  <si>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</si>
  <si>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</si>
  <si>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</si>
  <si>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</si>
  <si>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</si>
  <si>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</si>
  <si>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</si>
  <si>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</si>
  <si>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</si>
  <si>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</si>
  <si>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</si>
  <si>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</si>
  <si>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</si>
  <si>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</si>
  <si>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</si>
  <si>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</si>
  <si>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</si>
  <si>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</si>
  <si>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</si>
  <si>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</si>
  <si>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</si>
  <si>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</si>
  <si>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</si>
  <si>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</si>
  <si>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</si>
  <si>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</si>
  <si>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</si>
  <si>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</si>
  <si>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</si>
  <si>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</si>
  <si>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</si>
  <si>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</si>
  <si>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</si>
  <si>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</si>
  <si>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</si>
  <si>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</si>
  <si>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</si>
  <si>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</si>
  <si>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</si>
  <si>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</si>
  <si>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</si>
  <si>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</si>
  <si>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</si>
  <si>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</si>
  <si>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</si>
  <si>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</si>
  <si>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</si>
  <si>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</si>
  <si>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</si>
  <si>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</si>
  <si>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</si>
  <si>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</si>
  <si>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</si>
  <si>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</si>
  <si>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</si>
  <si>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</si>
  <si>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</si>
  <si>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</si>
  <si>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</si>
  <si>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</si>
  <si>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</si>
  <si>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</si>
  <si>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</si>
  <si>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</si>
  <si>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</si>
  <si>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</si>
  <si>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</si>
  <si>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</si>
  <si>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</si>
  <si>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</si>
  <si>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</si>
  <si>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</si>
  <si>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</si>
  <si>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</si>
  <si>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</si>
  <si>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</si>
  <si>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</si>
  <si>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</si>
  <si>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</si>
  <si>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</si>
  <si>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</si>
  <si>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</si>
  <si>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</si>
  <si>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</si>
  <si>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</si>
  <si>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</si>
  <si>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</si>
  <si>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</si>
  <si>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</si>
  <si>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</si>
  <si>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</si>
  <si>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</si>
  <si>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</si>
  <si>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</si>
  <si>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</si>
  <si>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</si>
  <si>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</si>
  <si>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</si>
  <si>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</si>
  <si>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</si>
  <si>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</si>
  <si>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</si>
  <si>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</si>
  <si>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</si>
  <si>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</si>
  <si>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</si>
  <si>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</si>
  <si>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</si>
  <si>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</si>
  <si>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</si>
  <si>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</si>
  <si>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</si>
  <si>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</si>
  <si>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</si>
  <si>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</si>
  <si>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</si>
  <si>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</si>
  <si>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</si>
  <si>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</si>
  <si>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</si>
  <si>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</si>
  <si>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</si>
  <si>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</si>
  <si>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</si>
  <si>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</si>
  <si>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</si>
  <si>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</si>
  <si>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</si>
  <si>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</si>
  <si>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</si>
  <si>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</si>
  <si>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</si>
  <si>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</si>
  <si>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</si>
  <si>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</si>
  <si>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</si>
  <si>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</si>
  <si>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</si>
  <si>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</si>
  <si>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</si>
  <si>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</si>
  <si>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</si>
  <si>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</si>
  <si>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</si>
  <si>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</si>
  <si>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</si>
  <si>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</si>
  <si>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</si>
  <si>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</si>
  <si>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</si>
  <si>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</si>
  <si>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</si>
  <si>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</si>
  <si>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</si>
  <si>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</si>
  <si>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</si>
  <si>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</si>
  <si>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</si>
  <si>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</si>
  <si>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</si>
  <si>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</si>
  <si>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</si>
  <si>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</si>
  <si>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</si>
  <si>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</si>
  <si>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</si>
  <si>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</si>
  <si>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</si>
  <si>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</si>
  <si>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</si>
  <si>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</si>
  <si>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</si>
  <si>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</si>
  <si>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</si>
  <si>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</si>
  <si>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</si>
  <si>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</si>
  <si>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</si>
  <si>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</si>
  <si>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</si>
  <si>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</si>
  <si>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</si>
  <si>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</si>
  <si>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</si>
  <si>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</si>
  <si>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</si>
  <si>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</si>
  <si>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</si>
  <si>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</si>
  <si>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</si>
  <si>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</si>
  <si>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</si>
  <si>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</si>
  <si>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</si>
  <si>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</si>
  <si>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</si>
  <si>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</si>
  <si>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</si>
  <si>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</si>
  <si>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</si>
  <si>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</si>
  <si>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</si>
  <si>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</si>
  <si>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</si>
  <si>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</si>
  <si>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</si>
  <si>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</si>
  <si>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</si>
  <si>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</si>
  <si>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</si>
  <si>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</si>
  <si>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</si>
  <si>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</si>
  <si>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</si>
  <si>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</si>
  <si>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</si>
  <si>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</si>
  <si>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</si>
  <si>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</si>
  <si>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</si>
  <si>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</si>
  <si>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</si>
  <si>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</si>
  <si>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</si>
  <si>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</si>
  <si>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</si>
  <si>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</si>
  <si>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</si>
  <si>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</si>
  <si>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</si>
  <si>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</si>
  <si>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</si>
  <si>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</si>
  <si>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</si>
  <si>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</si>
  <si>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</si>
  <si>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</si>
  <si>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</si>
  <si>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</si>
  <si>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</si>
  <si>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</si>
  <si>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</si>
  <si>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</si>
  <si>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</si>
  <si>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</si>
  <si>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</si>
  <si>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</si>
  <si>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</si>
  <si>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</si>
  <si>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</si>
  <si>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</si>
  <si>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</si>
  <si>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</si>
  <si>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</si>
  <si>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</si>
  <si>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</si>
  <si>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</si>
  <si>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</si>
  <si>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</si>
  <si>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</si>
  <si>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</si>
  <si>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</si>
  <si>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</si>
  <si>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</si>
  <si>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</si>
  <si>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</si>
  <si>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</si>
  <si>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</si>
  <si>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</si>
  <si>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</si>
  <si>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</si>
  <si>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</si>
  <si>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</si>
  <si>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</si>
  <si>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</si>
  <si>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</si>
  <si>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</si>
  <si>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</si>
  <si>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</si>
  <si>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</si>
  <si>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</si>
  <si>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</si>
  <si>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</si>
  <si>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</si>
  <si>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</si>
  <si>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</si>
  <si>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</si>
  <si>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</si>
  <si>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</si>
  <si>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</si>
  <si>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</si>
  <si>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</si>
  <si>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</si>
  <si>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</si>
  <si>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</si>
  <si>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</si>
  <si>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</si>
  <si>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</si>
  <si>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</si>
  <si>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</si>
  <si>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</si>
  <si>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</si>
  <si>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</si>
  <si>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</si>
  <si>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</si>
  <si>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</si>
  <si>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</si>
  <si>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</si>
  <si>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</si>
  <si>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</si>
  <si>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</si>
  <si>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</si>
  <si>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</si>
  <si>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</si>
  <si>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</si>
  <si>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</si>
  <si>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</si>
  <si>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</si>
  <si>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</si>
  <si>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</si>
  <si>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</si>
  <si>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</si>
  <si>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</si>
  <si>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</si>
  <si>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</si>
  <si>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</si>
  <si>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</si>
  <si>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</si>
  <si>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</si>
  <si>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</si>
  <si>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</si>
  <si>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</si>
  <si>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</si>
  <si>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</si>
  <si>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</si>
  <si>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</si>
  <si>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</si>
  <si>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</si>
  <si>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</si>
  <si>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</si>
  <si>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</si>
  <si>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</si>
  <si>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</si>
  <si>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</si>
  <si>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</si>
  <si>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</si>
  <si>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</si>
  <si>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</si>
  <si>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</si>
  <si>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</si>
  <si>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</si>
  <si>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</si>
  <si>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</si>
  <si>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</si>
  <si>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</si>
  <si>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</si>
  <si>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</si>
  <si>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</si>
  <si>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</si>
  <si>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</si>
  <si>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</si>
  <si>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</si>
  <si>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</si>
  <si>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</si>
  <si>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</si>
  <si>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</si>
  <si>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</si>
  <si>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</si>
  <si>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</si>
  <si>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</si>
  <si>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</si>
  <si>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</si>
  <si>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</si>
  <si>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</si>
  <si>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</si>
  <si>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</si>
  <si>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</si>
  <si>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</si>
  <si>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</si>
  <si>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</si>
  <si>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</si>
  <si>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</si>
  <si>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</si>
  <si>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</si>
  <si>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</si>
  <si>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</si>
  <si>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</si>
  <si>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</si>
  <si>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</si>
  <si>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</si>
  <si>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</si>
  <si>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</si>
  <si>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</si>
  <si>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</si>
  <si>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</si>
  <si>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</si>
  <si>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</si>
  <si>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</si>
  <si>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</si>
  <si>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</si>
  <si>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</si>
  <si>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</si>
  <si>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</si>
  <si>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</si>
  <si>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</si>
  <si>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</si>
  <si>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</si>
  <si>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</si>
  <si>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</si>
  <si>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</si>
  <si>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</si>
  <si>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</si>
  <si>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</si>
  <si>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</si>
  <si>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</si>
  <si>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</si>
  <si>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</si>
  <si>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</si>
  <si>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</si>
  <si>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</si>
  <si>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</si>
  <si>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</si>
  <si>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</si>
  <si>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</si>
  <si>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</si>
  <si>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</si>
  <si>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</si>
  <si>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</si>
  <si>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</si>
  <si>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</si>
  <si>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</si>
  <si>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</si>
  <si>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</si>
  <si>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</si>
  <si>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</si>
  <si>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</si>
  <si>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</si>
  <si>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</si>
  <si>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</si>
  <si>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</si>
  <si>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</si>
  <si>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</si>
  <si>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</si>
  <si>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</si>
  <si>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</si>
  <si>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</si>
  <si>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</si>
  <si>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</si>
  <si>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</si>
  <si>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</si>
  <si>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</si>
  <si>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</si>
  <si>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</si>
  <si>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</si>
  <si>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</si>
  <si>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</si>
  <si>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</si>
  <si>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</si>
  <si>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</si>
  <si>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</si>
  <si>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</si>
  <si>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</si>
  <si>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</si>
  <si>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</si>
  <si>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</si>
  <si>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</si>
  <si>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</si>
  <si>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</si>
  <si>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</si>
  <si>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</si>
  <si>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</si>
  <si>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</si>
  <si>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</si>
  <si>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</si>
  <si>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</si>
  <si>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</si>
  <si>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</si>
  <si>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</si>
  <si>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</si>
  <si>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</si>
  <si>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</si>
  <si>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</si>
  <si>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</si>
  <si>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</si>
  <si>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</si>
  <si>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</si>
  <si>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</si>
  <si>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</si>
  <si>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</si>
  <si>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</si>
  <si>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</si>
  <si>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</si>
  <si>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</si>
  <si>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</si>
  <si>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</si>
  <si>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</si>
  <si>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</si>
  <si>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</si>
  <si>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</si>
  <si>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</si>
  <si>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</si>
  <si>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</si>
  <si>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</si>
  <si>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</si>
  <si>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</si>
  <si>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</si>
  <si>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</si>
  <si>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</si>
  <si>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</si>
  <si>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</si>
  <si>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</si>
  <si>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</si>
  <si>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</si>
  <si>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</si>
  <si>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</si>
  <si>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</si>
  <si>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</si>
  <si>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</si>
  <si>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</si>
  <si>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</si>
  <si>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</si>
  <si>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</si>
  <si>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</si>
  <si>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</si>
  <si>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</si>
  <si>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</si>
  <si>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</si>
  <si>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</si>
  <si>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</si>
  <si>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</si>
  <si>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</si>
  <si>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</si>
  <si>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</si>
  <si>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</si>
  <si>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</si>
  <si>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</si>
  <si>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</si>
  <si>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</si>
  <si>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</si>
  <si>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</si>
  <si>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</si>
  <si>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</si>
  <si>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</si>
  <si>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</si>
  <si>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</si>
  <si>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</si>
  <si>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</si>
  <si>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</si>
  <si>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</si>
  <si>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</si>
  <si>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</si>
  <si>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</si>
  <si>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</si>
  <si>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</si>
  <si>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</si>
  <si>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</si>
  <si>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</si>
  <si>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</si>
  <si>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</si>
  <si>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</si>
  <si>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</si>
  <si>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</si>
  <si>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</si>
  <si>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</si>
  <si>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</si>
  <si>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</si>
  <si>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</si>
  <si>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</si>
  <si>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</si>
  <si>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</si>
  <si>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</si>
  <si>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</si>
  <si>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</si>
  <si>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</si>
  <si>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</si>
  <si>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</si>
  <si>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</si>
  <si>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</si>
  <si>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</si>
  <si>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</si>
  <si>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</si>
  <si>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</si>
  <si>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</si>
  <si>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</si>
  <si>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</si>
  <si>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</si>
  <si>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</si>
  <si>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</si>
  <si>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</si>
  <si>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</si>
  <si>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</si>
  <si>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</si>
  <si>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</si>
  <si>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</si>
  <si>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</si>
  <si>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</si>
  <si>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</si>
  <si>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</si>
  <si>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</si>
  <si>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</si>
  <si>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</si>
  <si>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</si>
  <si>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</si>
  <si>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</si>
  <si>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</si>
  <si>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</si>
  <si>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</si>
  <si>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</si>
  <si>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</si>
  <si>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</si>
  <si>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</si>
  <si>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</si>
  <si>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</si>
  <si>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</si>
  <si>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</si>
  <si>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</si>
  <si>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</si>
  <si>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</si>
  <si>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</si>
  <si>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</si>
  <si>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</si>
  <si>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</si>
  <si>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</si>
  <si>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</si>
  <si>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</si>
  <si>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</si>
  <si>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</si>
  <si>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</si>
  <si>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</si>
  <si>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</si>
  <si>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</si>
  <si>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</si>
  <si>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</si>
  <si>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</si>
  <si>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</si>
  <si>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</si>
  <si>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</si>
  <si>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</si>
  <si>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</si>
  <si>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</si>
  <si>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</si>
  <si>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</si>
  <si>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</si>
  <si>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</si>
  <si>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</si>
  <si>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</si>
  <si>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</si>
  <si>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</si>
  <si>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</si>
  <si>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</si>
  <si>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</si>
  <si>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</si>
  <si>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</si>
  <si>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</si>
  <si>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</si>
  <si>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</si>
  <si>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</si>
  <si>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</si>
  <si>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</si>
  <si>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</si>
  <si>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</si>
  <si>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</si>
  <si>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</si>
  <si>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</si>
  <si>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</si>
  <si>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</si>
  <si>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</si>
  <si>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</si>
  <si>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</si>
  <si>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</si>
  <si>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</si>
  <si>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</si>
  <si>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</si>
  <si>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</si>
  <si>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</si>
  <si>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</si>
  <si>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</si>
  <si>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</si>
  <si>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</si>
  <si>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</si>
  <si>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</si>
  <si>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</si>
  <si>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</si>
  <si>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</si>
  <si>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</si>
  <si>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</si>
  <si>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</si>
  <si>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</si>
  <si>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</si>
  <si>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</si>
  <si>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</si>
  <si>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</si>
  <si>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</si>
  <si>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</si>
  <si>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</si>
  <si>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</si>
  <si>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</si>
  <si>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</si>
  <si>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</si>
  <si>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</si>
  <si>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</si>
  <si>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</si>
  <si>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</si>
  <si>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</si>
  <si>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</si>
  <si>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</si>
  <si>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</si>
  <si>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</si>
  <si>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</si>
  <si>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</si>
  <si>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</si>
  <si>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</si>
  <si>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</si>
  <si>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</si>
  <si>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</si>
  <si>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</si>
  <si>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</si>
  <si>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</si>
  <si>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</si>
  <si>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</si>
  <si>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</si>
  <si>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</si>
  <si>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</si>
  <si>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</si>
  <si>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</si>
  <si>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</si>
  <si>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</si>
  <si>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</si>
  <si>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</si>
  <si>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</si>
  <si>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</si>
  <si>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</si>
  <si>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</si>
  <si>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</si>
  <si>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</si>
  <si>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</si>
  <si>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</si>
  <si>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</si>
  <si>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</si>
  <si>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</si>
  <si>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</si>
  <si>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</si>
  <si>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</si>
  <si>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</si>
  <si>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</si>
  <si>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</si>
  <si>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</si>
  <si>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</si>
  <si>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</si>
  <si>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</si>
  <si>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</si>
  <si>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</si>
  <si>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</si>
  <si>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</si>
  <si>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</si>
  <si>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</si>
  <si>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</si>
  <si>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</si>
  <si>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</si>
  <si>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</si>
  <si>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</si>
  <si>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</si>
  <si>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</si>
  <si>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</si>
  <si>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</si>
  <si>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</si>
  <si>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</si>
  <si>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</si>
  <si>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</si>
  <si>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</si>
  <si>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</si>
  <si>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</si>
  <si>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</si>
  <si>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</si>
  <si>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</si>
  <si>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</si>
  <si>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</si>
  <si>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</si>
  <si>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</si>
  <si>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</si>
  <si>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</si>
  <si>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</si>
  <si>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</si>
  <si>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</si>
  <si>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</si>
  <si>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</si>
  <si>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</si>
  <si>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</si>
  <si>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</si>
  <si>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</si>
  <si>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</si>
  <si>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</si>
  <si>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</si>
  <si>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</si>
  <si>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</si>
  <si>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</si>
  <si>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</si>
  <si>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</si>
  <si>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</si>
  <si>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</si>
  <si>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</si>
  <si>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</si>
  <si>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</si>
  <si>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</si>
  <si>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</si>
  <si>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</si>
  <si>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</si>
  <si>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</si>
  <si>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</si>
  <si>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</si>
  <si>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</si>
  <si>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</si>
  <si>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</si>
  <si>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</si>
  <si>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</si>
  <si>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</si>
  <si>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</si>
  <si>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</si>
  <si>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</si>
  <si>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</si>
  <si>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</si>
  <si>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</si>
  <si>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</si>
  <si>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</si>
  <si>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</si>
  <si>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</si>
  <si>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</si>
  <si>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</si>
  <si>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</si>
  <si>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</si>
  <si>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</si>
  <si>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</si>
  <si>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</si>
  <si>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</si>
  <si>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</si>
  <si>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</si>
  <si>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</si>
  <si>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</si>
  <si>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</si>
  <si>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</si>
  <si>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</si>
  <si>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</si>
  <si>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</si>
  <si>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</si>
  <si>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</si>
  <si>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</si>
  <si>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</si>
  <si>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</si>
  <si>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</si>
  <si>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</si>
  <si>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</si>
  <si>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</si>
  <si>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</si>
  <si>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</si>
  <si>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</si>
  <si>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</si>
  <si>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</si>
  <si>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</si>
  <si>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</si>
  <si>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</si>
  <si>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</si>
  <si>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</si>
  <si>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</si>
  <si>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</si>
  <si>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</si>
  <si>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</si>
  <si>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</si>
  <si>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</si>
  <si>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</si>
  <si>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</si>
  <si>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</si>
  <si>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</si>
  <si>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</si>
  <si>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</si>
  <si>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</si>
  <si>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</si>
  <si>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</si>
  <si>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</si>
  <si>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</si>
  <si>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</si>
  <si>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</si>
  <si>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</si>
  <si>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</si>
  <si>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</si>
  <si>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</si>
  <si>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</si>
  <si>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</si>
  <si>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</si>
  <si>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</si>
  <si>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</si>
  <si>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</si>
  <si>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</si>
  <si>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</si>
  <si>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</si>
  <si>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</si>
  <si>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</si>
  <si>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</si>
  <si>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</si>
  <si>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</si>
  <si>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</si>
  <si>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</si>
  <si>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</si>
  <si>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</si>
  <si>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</si>
  <si>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</si>
  <si>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</si>
  <si>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</si>
  <si>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</si>
  <si>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</si>
  <si>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</si>
  <si>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</si>
  <si>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</si>
  <si>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</si>
  <si>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</si>
  <si>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</si>
  <si>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</si>
  <si>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</si>
  <si>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</si>
  <si>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</si>
  <si>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</si>
  <si>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</si>
  <si>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</si>
  <si>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</si>
  <si>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</si>
  <si>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</si>
  <si>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</si>
  <si>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</si>
  <si>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</si>
  <si>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</si>
  <si>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</si>
  <si>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</si>
  <si>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</si>
  <si>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</si>
  <si>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</si>
  <si>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</si>
  <si>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</si>
  <si>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</si>
  <si>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</si>
  <si>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</si>
  <si>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</si>
  <si>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</si>
  <si>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</si>
  <si>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</si>
  <si>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</si>
  <si>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</si>
  <si>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</si>
  <si>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</si>
  <si>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</si>
  <si>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</si>
  <si>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</si>
  <si>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</si>
  <si>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</si>
  <si>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</si>
  <si>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</si>
  <si>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</si>
  <si>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</si>
  <si>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</si>
  <si>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</si>
  <si>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</si>
  <si>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</si>
  <si>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</si>
  <si>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</si>
  <si>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</si>
  <si>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</si>
  <si>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</si>
  <si>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</si>
  <si>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</si>
  <si>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</si>
  <si>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</si>
  <si>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</si>
  <si>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</si>
  <si>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</si>
  <si>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</si>
  <si>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</si>
  <si>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</si>
  <si>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</si>
  <si>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</si>
  <si>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</si>
  <si>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</si>
  <si>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</si>
  <si>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</si>
  <si>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</si>
  <si>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</si>
  <si>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</si>
  <si>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</si>
  <si>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</si>
  <si>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</si>
  <si>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</si>
  <si>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</si>
  <si>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</si>
  <si>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</si>
  <si>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</si>
  <si>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</si>
  <si>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</si>
  <si>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</si>
  <si>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</si>
  <si>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</si>
  <si>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</si>
  <si>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</si>
  <si>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</si>
  <si>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</si>
  <si>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</si>
  <si>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</si>
  <si>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</si>
  <si>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</si>
  <si>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</si>
  <si>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</si>
  <si>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</si>
  <si>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</si>
  <si>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</si>
  <si>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</si>
  <si>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</si>
  <si>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</si>
  <si>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</si>
  <si>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</si>
  <si>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</si>
  <si>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</si>
  <si>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</si>
  <si>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</si>
  <si>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</si>
  <si>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</si>
  <si>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</si>
  <si>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</si>
  <si>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</si>
  <si>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</si>
  <si>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</si>
  <si>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</si>
  <si>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</si>
  <si>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</si>
  <si>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</si>
  <si>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</si>
  <si>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</si>
  <si>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</si>
  <si>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</si>
  <si>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</si>
  <si>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</si>
  <si>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</si>
  <si>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</si>
  <si>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</si>
  <si>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</si>
  <si>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</si>
  <si>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</si>
  <si>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</si>
  <si>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</si>
  <si>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</si>
  <si>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</si>
  <si>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</si>
  <si>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</si>
  <si>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</si>
  <si>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</si>
  <si>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</si>
  <si>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</si>
  <si>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</si>
  <si>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</si>
  <si>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</si>
  <si>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</si>
  <si>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</si>
  <si>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</si>
  <si>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</si>
  <si>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</si>
  <si>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</si>
  <si>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</si>
  <si>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</si>
  <si>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</si>
  <si>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</si>
  <si>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</si>
  <si>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</si>
  <si>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</si>
  <si>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</si>
  <si>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</si>
  <si>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</si>
  <si>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</si>
  <si>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</si>
  <si>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</si>
  <si>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</si>
  <si>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</si>
  <si>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</si>
  <si>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</si>
  <si>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</si>
  <si>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</si>
  <si>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</si>
  <si>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</si>
  <si>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</si>
  <si>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</si>
  <si>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</si>
  <si>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</si>
  <si>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</si>
  <si>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</si>
  <si>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</si>
  <si>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</si>
  <si>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</si>
  <si>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</si>
  <si>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</si>
  <si>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</si>
  <si>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</si>
  <si>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</si>
  <si>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</si>
  <si>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</si>
  <si>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</si>
  <si>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</si>
  <si>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</si>
  <si>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</si>
  <si>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</si>
  <si>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</si>
  <si>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</si>
  <si>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</si>
  <si>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</si>
  <si>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</si>
  <si>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</si>
  <si>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</si>
  <si>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</si>
  <si>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</si>
  <si>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</si>
  <si>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</si>
  <si>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</si>
  <si>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</si>
  <si>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</si>
  <si>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</si>
  <si>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</si>
  <si>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</si>
  <si>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</si>
  <si>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</si>
  <si>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</si>
  <si>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</si>
  <si>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</si>
  <si>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</si>
  <si>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</si>
  <si>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</si>
  <si>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</si>
  <si>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</si>
  <si>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</si>
  <si>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</si>
  <si>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</si>
  <si>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</si>
  <si>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</si>
  <si>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</si>
  <si>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</si>
  <si>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</si>
  <si>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</si>
  <si>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</si>
  <si>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</si>
  <si>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</si>
  <si>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</si>
  <si>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</si>
  <si>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</si>
  <si>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</si>
  <si>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</si>
  <si>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</si>
  <si>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</si>
  <si>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</si>
  <si>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</si>
  <si>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</si>
  <si>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</si>
  <si>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</si>
  <si>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</si>
  <si>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</si>
  <si>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</si>
  <si>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</si>
  <si>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</si>
  <si>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</si>
  <si>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</si>
  <si>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</si>
  <si>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</si>
  <si>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</si>
  <si>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</si>
  <si>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</si>
  <si>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</si>
  <si>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</si>
  <si>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</si>
  <si>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</si>
  <si>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</si>
  <si>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</si>
  <si>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</si>
  <si>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</si>
  <si>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</si>
  <si>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</si>
  <si>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</si>
  <si>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</si>
  <si>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</si>
  <si>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</si>
  <si>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</si>
  <si>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</si>
  <si>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</si>
  <si>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</si>
  <si>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</si>
  <si>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</si>
  <si>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</si>
  <si>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</si>
  <si>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</si>
  <si>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</si>
  <si>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</si>
  <si>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</si>
  <si>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</si>
  <si>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</si>
  <si>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</si>
  <si>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</si>
  <si>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</si>
  <si>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</si>
  <si>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</si>
  <si>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</si>
  <si>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</si>
  <si>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</si>
  <si>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</si>
  <si>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</si>
  <si>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</si>
  <si>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</si>
  <si>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</si>
  <si>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</si>
  <si>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</si>
  <si>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</si>
  <si>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</si>
  <si>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</si>
  <si>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</si>
  <si>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</si>
  <si>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</si>
  <si>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</si>
  <si>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</si>
  <si>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</si>
  <si>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</si>
  <si>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</si>
  <si>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</si>
  <si>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</si>
  <si>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</si>
  <si>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</si>
  <si>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</si>
  <si>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</si>
  <si>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</si>
  <si>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</si>
  <si>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</si>
  <si>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</si>
  <si>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</si>
  <si>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</si>
  <si>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</si>
  <si>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</si>
  <si>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</si>
  <si>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</si>
  <si>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</si>
  <si>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</si>
  <si>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</si>
  <si>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</si>
  <si>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</si>
  <si>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</si>
  <si>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</si>
  <si>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</si>
  <si>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</si>
  <si>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</si>
  <si>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</si>
  <si>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</si>
  <si>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</si>
  <si>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</si>
  <si>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</si>
  <si>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</si>
  <si>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</si>
  <si>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</si>
  <si>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</si>
  <si>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</si>
  <si>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</si>
  <si>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</si>
  <si>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</si>
  <si>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</si>
  <si>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</si>
  <si>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</si>
  <si>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</si>
  <si>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</si>
  <si>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</si>
  <si>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</si>
  <si>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</si>
  <si>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</si>
  <si>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</si>
  <si>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</si>
  <si>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</si>
  <si>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</si>
  <si>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</si>
  <si>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</si>
  <si>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</si>
  <si>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</si>
  <si>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</si>
  <si>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</si>
  <si>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</si>
  <si>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</si>
  <si>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</si>
  <si>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</si>
  <si>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</si>
  <si>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</si>
  <si>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</si>
  <si>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</si>
  <si>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</si>
  <si>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</si>
  <si>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</si>
  <si>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</si>
  <si>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</si>
  <si>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</si>
  <si>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</si>
  <si>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</si>
  <si>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</si>
  <si>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</si>
  <si>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</si>
  <si>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</si>
  <si>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</si>
  <si>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</si>
  <si>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</si>
  <si>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</si>
  <si>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</si>
  <si>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</si>
  <si>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</si>
  <si>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</si>
  <si>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</si>
  <si>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</si>
  <si>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</si>
  <si>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</si>
  <si>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</si>
  <si>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</si>
  <si>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</si>
  <si>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</si>
  <si>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</si>
  <si>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</si>
  <si>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</si>
  <si>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</si>
  <si>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</si>
  <si>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</si>
  <si>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</si>
  <si>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</si>
  <si>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</si>
  <si>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</si>
  <si>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</si>
  <si>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</si>
  <si>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</si>
  <si>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</si>
  <si>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</si>
  <si>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</si>
  <si>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</si>
  <si>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</si>
  <si>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</si>
  <si>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</si>
  <si>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</si>
  <si>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</si>
  <si>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</si>
  <si>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</si>
  <si>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</si>
  <si>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</si>
  <si>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</si>
  <si>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</si>
  <si>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</si>
  <si>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</si>
  <si>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</si>
  <si>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</si>
  <si>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</si>
  <si>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</si>
  <si>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</si>
  <si>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</si>
  <si>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</si>
  <si>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</si>
  <si>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</si>
  <si>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</si>
  <si>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</si>
  <si>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</si>
  <si>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</si>
  <si>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</si>
  <si>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</si>
  <si>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</si>
  <si>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</si>
  <si>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</si>
  <si>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</si>
  <si>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</si>
  <si>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</si>
  <si>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</si>
  <si>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</si>
  <si>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</si>
  <si>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</si>
  <si>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</si>
  <si>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</si>
  <si>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</si>
  <si>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</si>
  <si>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</si>
  <si>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</si>
  <si>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</si>
  <si>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</si>
  <si>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</si>
  <si>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</si>
  <si>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</si>
  <si>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</si>
  <si>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</si>
  <si>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</si>
  <si>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</si>
  <si>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</si>
  <si>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</si>
  <si>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</si>
  <si>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</si>
  <si>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</si>
  <si>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</si>
  <si>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</si>
  <si>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</si>
  <si>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</si>
  <si>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</si>
  <si>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</si>
  <si>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</si>
  <si>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</si>
  <si>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</si>
  <si>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</si>
  <si>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</si>
  <si>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</si>
  <si>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</si>
  <si>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</si>
  <si>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</si>
  <si>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</si>
  <si>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</si>
  <si>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</si>
  <si>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</si>
  <si>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</si>
  <si>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</si>
  <si>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</si>
  <si>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</si>
  <si>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</si>
  <si>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</si>
  <si>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</si>
  <si>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</si>
  <si>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</si>
  <si>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</si>
  <si>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</si>
  <si>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</si>
  <si>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</si>
  <si>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</si>
  <si>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</si>
  <si>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</si>
  <si>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</si>
  <si>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</si>
  <si>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</si>
  <si>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</si>
  <si>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</si>
  <si>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</si>
  <si>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</si>
  <si>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</si>
  <si>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</si>
  <si>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</si>
  <si>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</si>
  <si>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</si>
  <si>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</si>
  <si>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</si>
  <si>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</si>
  <si>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</si>
  <si>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</si>
  <si>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</si>
  <si>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</si>
  <si>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</si>
  <si>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</si>
  <si>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</si>
  <si>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</si>
  <si>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</si>
  <si>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</si>
  <si>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</si>
  <si>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</si>
  <si>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</si>
  <si>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</si>
  <si>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</si>
  <si>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</si>
  <si>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</si>
  <si>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</si>
  <si>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</si>
  <si>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</si>
  <si>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</si>
  <si>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</si>
  <si>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</si>
  <si>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</si>
  <si>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</si>
  <si>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</si>
  <si>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</si>
  <si>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</si>
  <si>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</si>
  <si>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</si>
  <si>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</si>
  <si>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</si>
  <si>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</si>
  <si>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</si>
  <si>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</si>
  <si>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</si>
  <si>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</si>
  <si>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</si>
  <si>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</si>
  <si>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</si>
  <si>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</si>
  <si>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</si>
  <si>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</si>
  <si>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</si>
  <si>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</si>
  <si>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</si>
  <si>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</si>
  <si>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</si>
  <si>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</si>
  <si>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</si>
  <si>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</si>
  <si>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</si>
  <si>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</si>
  <si>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</si>
  <si>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</si>
  <si>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</si>
  <si>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</si>
  <si>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</si>
  <si>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</si>
  <si>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</si>
  <si>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</si>
  <si>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</si>
  <si>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</si>
  <si>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</si>
  <si>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</si>
  <si>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</si>
  <si>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</si>
  <si>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</si>
  <si>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</si>
  <si>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</si>
  <si>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</si>
  <si>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</si>
  <si>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</si>
  <si>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</si>
  <si>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</si>
  <si>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</si>
  <si>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</si>
  <si>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</si>
  <si>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</si>
  <si>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</si>
  <si>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</si>
  <si>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</si>
  <si>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</si>
  <si>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</si>
  <si>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</si>
  <si>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</si>
  <si>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</si>
  <si>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</si>
  <si>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</si>
  <si>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</si>
  <si>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</si>
  <si>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</si>
  <si>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</si>
  <si>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</si>
  <si>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</si>
  <si>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</si>
  <si>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</si>
  <si>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</si>
  <si>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</si>
  <si>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</si>
  <si>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</si>
  <si>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</si>
  <si>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</si>
  <si>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</si>
  <si>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</si>
  <si>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</si>
  <si>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</si>
  <si>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</si>
  <si>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</si>
  <si>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</si>
  <si>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</si>
  <si>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</si>
  <si>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</si>
  <si>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</si>
  <si>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</si>
  <si>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</si>
  <si>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</si>
  <si>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</si>
  <si>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</si>
  <si>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</si>
  <si>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</si>
  <si>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</si>
  <si>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</si>
  <si>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</si>
  <si>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</si>
  <si>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</si>
  <si>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</si>
  <si>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</si>
  <si>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</si>
  <si>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</si>
  <si>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</si>
  <si>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</si>
  <si>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</si>
  <si>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</si>
  <si>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</si>
  <si>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</si>
  <si>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</si>
  <si>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</si>
  <si>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</si>
  <si>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</si>
  <si>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</si>
  <si>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</si>
  <si>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</si>
  <si>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</si>
  <si>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</si>
  <si>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</si>
  <si>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</si>
  <si>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</si>
  <si>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</si>
  <si>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</si>
  <si>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</si>
  <si>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</si>
  <si>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</si>
  <si>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</si>
  <si>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</si>
  <si>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</si>
  <si>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</si>
  <si>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</si>
  <si>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</si>
  <si>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</si>
  <si>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</si>
  <si>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</si>
  <si>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</si>
  <si>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</si>
  <si>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</si>
  <si>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</si>
  <si>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</si>
  <si>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</si>
  <si>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</si>
  <si>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</si>
  <si>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</si>
  <si>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</si>
  <si>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</si>
  <si>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</si>
  <si>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</si>
  <si>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</si>
  <si>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</si>
  <si>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</si>
  <si>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</si>
  <si>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</si>
  <si>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</si>
  <si>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</si>
  <si>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</si>
  <si>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</si>
  <si>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</si>
  <si>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</si>
  <si>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</si>
  <si>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</si>
  <si>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</si>
  <si>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</si>
  <si>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</si>
  <si>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</si>
  <si>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</si>
  <si>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</si>
  <si>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</si>
  <si>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</si>
  <si>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</si>
  <si>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</si>
  <si>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</si>
  <si>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</si>
  <si>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</si>
  <si>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</si>
  <si>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</si>
  <si>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</si>
  <si>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</si>
  <si>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</si>
  <si>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</si>
  <si>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</si>
  <si>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</si>
  <si>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</si>
  <si>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</si>
  <si>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</si>
  <si>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</si>
  <si>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</si>
  <si>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</si>
  <si>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</si>
  <si>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</si>
  <si>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</si>
  <si>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</si>
  <si>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</si>
  <si>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</si>
  <si>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</si>
  <si>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</si>
  <si>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</si>
  <si>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</si>
  <si>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</si>
  <si>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</si>
  <si>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</si>
  <si>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</si>
  <si>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</si>
  <si>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</si>
  <si>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</si>
  <si>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</si>
  <si>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</si>
  <si>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</si>
  <si>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</si>
  <si>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</si>
  <si>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</si>
  <si>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</si>
  <si>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</si>
  <si>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</si>
  <si>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</si>
  <si>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</si>
  <si>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</si>
  <si>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</si>
  <si>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</si>
  <si>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</si>
  <si>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</si>
  <si>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</si>
  <si>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</si>
  <si>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</si>
  <si>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</si>
  <si>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</si>
  <si>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</si>
  <si>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</si>
  <si>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</si>
  <si>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</si>
  <si>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</si>
  <si>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</si>
  <si>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</si>
  <si>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</si>
  <si>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</si>
  <si>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</si>
  <si>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</si>
  <si>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</si>
  <si>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</si>
  <si>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</si>
  <si>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</si>
  <si>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</si>
  <si>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</si>
  <si>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</si>
  <si>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</si>
  <si>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</si>
  <si>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</si>
  <si>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</si>
  <si>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</si>
  <si>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</si>
  <si>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</si>
  <si>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</si>
  <si>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</si>
  <si>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</si>
  <si>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</si>
  <si>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</si>
  <si>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</si>
  <si>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</si>
  <si>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</si>
  <si>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</si>
  <si>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</si>
  <si>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</si>
  <si>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</si>
  <si>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</si>
  <si>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</si>
  <si>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</si>
  <si>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</si>
  <si>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</si>
  <si>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</si>
  <si>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</si>
  <si>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</si>
  <si>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</si>
  <si>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</si>
  <si>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</si>
  <si>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</si>
  <si>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</si>
  <si>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</si>
  <si>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</si>
  <si>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</si>
  <si>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</si>
  <si>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</si>
  <si>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</si>
  <si>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</si>
  <si>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</si>
  <si>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</si>
  <si>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</si>
  <si>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</si>
  <si>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</si>
  <si>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</si>
  <si>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</si>
  <si>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</si>
  <si>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</si>
  <si>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</si>
  <si>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</si>
  <si>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</si>
  <si>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</si>
  <si>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</si>
  <si>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</si>
  <si>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</si>
  <si>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</si>
  <si>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</si>
  <si>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</si>
  <si>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</si>
  <si>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</si>
  <si>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</si>
  <si>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</si>
  <si>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</si>
  <si>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</si>
  <si>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</si>
  <si>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</si>
  <si>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</si>
  <si>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</si>
  <si>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</si>
  <si>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</si>
  <si>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</si>
  <si>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</si>
  <si>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</si>
  <si>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</si>
  <si>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</si>
  <si>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</si>
  <si>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</si>
  <si>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</si>
  <si>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</si>
  <si>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</si>
  <si>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</si>
  <si>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</si>
  <si>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</si>
  <si>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</si>
  <si>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</si>
  <si>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</si>
  <si>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</si>
  <si>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</si>
  <si>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</si>
  <si>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</si>
  <si>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</si>
  <si>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</si>
  <si>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</si>
  <si>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</si>
  <si>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</si>
  <si>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</si>
  <si>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</si>
  <si>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</si>
  <si>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</si>
  <si>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</si>
  <si>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</si>
  <si>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</si>
  <si>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</si>
  <si>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</si>
  <si>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</si>
  <si>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</si>
  <si>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</si>
  <si>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</si>
  <si>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</si>
  <si>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</si>
  <si>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</si>
  <si>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</si>
  <si>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</si>
  <si>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</si>
  <si>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</si>
  <si>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</si>
  <si>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</si>
  <si>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</si>
  <si>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</si>
  <si>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</si>
  <si>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</si>
  <si>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</si>
  <si>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</si>
  <si>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</si>
  <si>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</si>
  <si>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</si>
  <si>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</si>
  <si>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</si>
  <si>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</si>
  <si>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</si>
  <si>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</si>
  <si>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</si>
  <si>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</si>
  <si>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</si>
  <si>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</si>
  <si>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</si>
  <si>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</si>
  <si>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</si>
  <si>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</si>
  <si>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</si>
  <si>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</si>
  <si>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</si>
  <si>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</si>
  <si>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</si>
  <si>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</si>
  <si>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</si>
  <si>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</si>
  <si>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</si>
  <si>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</si>
  <si>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</si>
  <si>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</si>
  <si>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</si>
  <si>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</si>
  <si>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</si>
  <si>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</si>
  <si>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</si>
  <si>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</si>
  <si>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</si>
  <si>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</si>
  <si>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</si>
  <si>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</si>
  <si>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</si>
  <si>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</si>
  <si>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</si>
  <si>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</si>
  <si>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</si>
  <si>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</si>
  <si>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</si>
  <si>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</si>
  <si>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</si>
  <si>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</si>
  <si>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</si>
  <si>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</si>
  <si>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</si>
  <si>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</si>
  <si>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</si>
  <si>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</si>
  <si>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</si>
  <si>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</si>
  <si>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</si>
  <si>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</si>
  <si>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</si>
  <si>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</si>
  <si>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</si>
  <si>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</si>
  <si>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</si>
  <si>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</si>
  <si>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</si>
  <si>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</si>
  <si>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</si>
  <si>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</si>
  <si>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</si>
  <si>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</si>
  <si>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</si>
  <si>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</si>
  <si>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</si>
  <si>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</si>
  <si>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</si>
  <si>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</si>
  <si>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</si>
  <si>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</si>
  <si>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</si>
  <si>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</si>
  <si>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</si>
  <si>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</si>
  <si>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</si>
  <si>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</si>
  <si>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</si>
  <si>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</si>
  <si>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</si>
  <si>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</si>
  <si>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</si>
  <si>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</si>
  <si>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</si>
  <si>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</si>
  <si>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</si>
  <si>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</si>
  <si>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</si>
  <si>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</si>
  <si>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</si>
  <si>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</si>
  <si>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</si>
  <si>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</si>
  <si>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</si>
  <si>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</si>
  <si>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</si>
  <si>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</si>
  <si>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</si>
  <si>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</si>
  <si>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</si>
  <si>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</si>
  <si>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</si>
  <si>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</si>
  <si>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</si>
  <si>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</si>
  <si>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</si>
  <si>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</si>
  <si>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</si>
  <si>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</si>
  <si>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</si>
  <si>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</si>
  <si>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</si>
  <si>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</si>
  <si>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</si>
  <si>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</si>
  <si>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</si>
  <si>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</si>
  <si>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</si>
  <si>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</si>
  <si>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</si>
  <si>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</si>
  <si>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</si>
  <si>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</si>
  <si>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</si>
  <si>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</si>
  <si>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</si>
  <si>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</si>
  <si>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</si>
  <si>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</si>
  <si>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</si>
  <si>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</si>
  <si>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</si>
  <si>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</si>
  <si>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</si>
  <si>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</si>
  <si>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</si>
  <si>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</si>
  <si>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</si>
  <si>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</si>
  <si>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</si>
  <si>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</si>
  <si>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</si>
  <si>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</si>
  <si>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</si>
  <si>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</si>
  <si>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</si>
  <si>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</si>
  <si>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</si>
  <si>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</si>
  <si>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</si>
  <si>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</si>
  <si>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</si>
  <si>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</si>
  <si>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</si>
  <si>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</si>
  <si>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</si>
  <si>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</si>
  <si>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</si>
  <si>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</si>
  <si>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</si>
  <si>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</si>
  <si>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</si>
  <si>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</si>
  <si>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</si>
  <si>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</si>
  <si>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</si>
  <si>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</si>
  <si>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</si>
  <si>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</si>
  <si>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</si>
  <si>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</si>
  <si>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</si>
  <si>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</si>
  <si>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</si>
  <si>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</si>
  <si>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</si>
  <si>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</si>
  <si>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</si>
  <si>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</si>
  <si>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</si>
  <si>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</si>
  <si>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</si>
  <si>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</si>
  <si>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</si>
  <si>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</si>
  <si>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</si>
  <si>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</si>
  <si>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</si>
  <si>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</si>
  <si>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</si>
  <si>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</si>
  <si>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</si>
  <si>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</si>
  <si>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</si>
  <si>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</si>
  <si>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</si>
  <si>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</si>
  <si>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</si>
  <si>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</si>
  <si>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</si>
  <si>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</si>
  <si>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</si>
  <si>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</si>
  <si>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</si>
  <si>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</si>
  <si>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</si>
  <si>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</si>
  <si>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</si>
  <si>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</si>
  <si>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</si>
  <si>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</si>
  <si>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</si>
  <si>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</si>
  <si>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</si>
  <si>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</si>
  <si>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</si>
  <si>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</si>
  <si>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</si>
  <si>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</si>
  <si>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</si>
  <si>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</si>
  <si>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</si>
  <si>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</si>
  <si>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</si>
  <si>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</si>
  <si>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</si>
  <si>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</si>
  <si>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</si>
  <si>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</si>
  <si>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</si>
  <si>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</si>
  <si>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</si>
  <si>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</si>
  <si>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</si>
  <si>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</si>
  <si>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</si>
  <si>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</si>
  <si>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</si>
  <si>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</si>
  <si>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</si>
  <si>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</si>
  <si>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</si>
  <si>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</si>
  <si>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</si>
  <si>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</si>
  <si>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</si>
  <si>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</si>
  <si>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</si>
  <si>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</si>
  <si>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</si>
  <si>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</si>
  <si>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</si>
  <si>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</si>
  <si>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</si>
  <si>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</si>
  <si>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</si>
  <si>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</si>
  <si>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</si>
  <si>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</si>
  <si>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</si>
  <si>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</si>
  <si>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</si>
  <si>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</si>
  <si>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</si>
  <si>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</si>
  <si>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</si>
  <si>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</si>
  <si>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</si>
  <si>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</si>
  <si>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</si>
  <si>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</si>
  <si>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</si>
  <si>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</si>
  <si>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</si>
  <si>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</si>
  <si>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</si>
  <si>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</si>
  <si>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</si>
  <si>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</si>
  <si>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</si>
  <si>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</si>
  <si>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</si>
  <si>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</si>
  <si>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</si>
  <si>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</si>
  <si>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</si>
  <si>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</si>
  <si>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</si>
  <si>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</si>
  <si>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</si>
  <si>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</si>
  <si>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</si>
  <si>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</si>
  <si>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</si>
  <si>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</si>
  <si>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</si>
  <si>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</si>
  <si>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</si>
  <si>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</si>
  <si>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</si>
  <si>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</si>
  <si>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</si>
  <si>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</si>
  <si>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</si>
  <si>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</si>
  <si>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</si>
  <si>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</si>
  <si>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</si>
  <si>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</si>
  <si>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</si>
  <si>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</si>
  <si>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</si>
  <si>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</si>
  <si>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</si>
  <si>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</si>
  <si>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</si>
  <si>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</si>
  <si>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</si>
  <si>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</si>
  <si>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</si>
  <si>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</si>
  <si>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</si>
  <si>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</si>
  <si>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</si>
  <si>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</si>
  <si>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</si>
  <si>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</si>
  <si>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</si>
  <si>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</si>
  <si>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</si>
  <si>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</si>
  <si>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</si>
  <si>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</si>
  <si>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</si>
  <si>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</si>
  <si>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</si>
  <si>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</si>
  <si>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</si>
  <si>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</si>
  <si>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</si>
  <si>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</si>
  <si>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</si>
  <si>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</si>
  <si>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</si>
  <si>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</si>
  <si>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</si>
  <si>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</si>
  <si>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</si>
  <si>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</si>
  <si>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</si>
  <si>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</si>
  <si>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</si>
  <si>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</si>
  <si>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</si>
  <si>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</si>
  <si>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</si>
  <si>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</si>
  <si>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</si>
  <si>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</si>
  <si>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</si>
  <si>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</si>
  <si>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</si>
  <si>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</si>
  <si>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</si>
  <si>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</si>
  <si>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</si>
  <si>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</si>
  <si>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</si>
  <si>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</si>
  <si>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</si>
  <si>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</si>
  <si>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</si>
  <si>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</si>
  <si>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</si>
  <si>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</si>
  <si>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</si>
  <si>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</si>
  <si>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</si>
  <si>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</si>
  <si>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</si>
  <si>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</si>
  <si>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</si>
  <si>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</si>
  <si>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</si>
  <si>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</si>
  <si>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</si>
  <si>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</si>
  <si>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</si>
  <si>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</si>
  <si>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</si>
  <si>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</si>
  <si>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</si>
  <si>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</si>
  <si>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</si>
  <si>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</si>
  <si>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</si>
  <si>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</si>
  <si>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</si>
  <si>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</si>
  <si>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</si>
  <si>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</si>
  <si>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</si>
  <si>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</si>
  <si>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</si>
  <si>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</si>
  <si>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</si>
  <si>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</si>
  <si>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</si>
  <si>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</si>
  <si>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</si>
  <si>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</si>
  <si>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</si>
  <si>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</si>
  <si>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</si>
  <si>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</si>
  <si>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</si>
  <si>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</si>
  <si>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</si>
  <si>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</si>
  <si>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</si>
  <si>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</si>
  <si>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</si>
  <si>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</si>
  <si>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</si>
  <si>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</si>
  <si>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</si>
  <si>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</si>
  <si>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</si>
  <si>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</si>
  <si>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</si>
  <si>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</si>
  <si>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</si>
  <si>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</si>
  <si>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</si>
  <si>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</si>
  <si>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</si>
  <si>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</si>
  <si>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</si>
  <si>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</si>
  <si>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</si>
  <si>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</si>
  <si>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</si>
  <si>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</si>
  <si>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</si>
  <si>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</si>
  <si>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</si>
  <si>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</si>
  <si>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</si>
  <si>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</si>
  <si>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</si>
  <si>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</si>
  <si>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</si>
  <si>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</si>
  <si>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</si>
  <si>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</si>
  <si>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</si>
  <si>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</si>
  <si>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</si>
  <si>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</si>
  <si>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</si>
  <si>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</si>
  <si>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</si>
  <si>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</si>
  <si>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</si>
  <si>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</si>
  <si>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</si>
  <si>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</si>
  <si>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</si>
  <si>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</si>
  <si>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</si>
  <si>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</si>
  <si>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</si>
  <si>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</si>
  <si>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</si>
  <si>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</si>
  <si>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</si>
  <si>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</si>
  <si>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</si>
  <si>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</si>
  <si>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</si>
  <si>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</si>
  <si>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</si>
  <si>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</si>
  <si>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</si>
  <si>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</si>
  <si>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</si>
  <si>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</si>
  <si>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</si>
  <si>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</si>
  <si>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</si>
  <si>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</si>
  <si>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</si>
  <si>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</si>
  <si>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</si>
  <si>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</si>
  <si>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</si>
  <si>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</si>
  <si>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</si>
  <si>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</si>
  <si>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</si>
  <si>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</si>
  <si>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</si>
  <si>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</si>
  <si>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</si>
  <si>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</si>
  <si>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</si>
  <si>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</si>
  <si>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</si>
  <si>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</si>
  <si>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</si>
  <si>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</si>
  <si>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</si>
  <si>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</si>
  <si>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</si>
  <si>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</si>
  <si>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</si>
  <si>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</si>
  <si>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</si>
  <si>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</si>
  <si>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</si>
  <si>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</si>
  <si>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</si>
  <si>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</si>
  <si>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</si>
  <si>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</si>
  <si>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</si>
  <si>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</si>
  <si>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</si>
  <si>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</si>
  <si>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</si>
  <si>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</si>
  <si>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</si>
  <si>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</si>
  <si>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</si>
  <si>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</si>
  <si>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</si>
  <si>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</si>
  <si>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</si>
  <si>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</si>
  <si>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</si>
  <si>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</si>
  <si>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</si>
  <si>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</si>
  <si>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</si>
  <si>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</si>
  <si>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</si>
  <si>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</si>
  <si>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</si>
  <si>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</si>
  <si>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</si>
  <si>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</si>
  <si>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</si>
  <si>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</si>
  <si>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</si>
  <si>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</si>
  <si>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</si>
  <si>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</si>
  <si>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</si>
  <si>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</si>
  <si>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</si>
  <si>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</si>
  <si>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</si>
  <si>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</si>
  <si>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</si>
  <si>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</si>
  <si>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</si>
  <si>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</si>
  <si>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</si>
  <si>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</si>
  <si>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</si>
  <si>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</si>
  <si>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</si>
  <si>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</si>
  <si>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</si>
  <si>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</si>
  <si>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</si>
  <si>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</si>
  <si>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</si>
  <si>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</si>
  <si>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</si>
  <si>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</si>
  <si>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</si>
  <si>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</si>
  <si>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</si>
  <si>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</si>
  <si>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</si>
  <si>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</si>
  <si>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</si>
  <si>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</si>
  <si>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</si>
  <si>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</si>
  <si>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</si>
  <si>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</si>
  <si>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</si>
  <si>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</si>
  <si>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</si>
  <si>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</si>
  <si>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</si>
  <si>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</si>
  <si>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</si>
  <si>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</si>
  <si>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</si>
  <si>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</si>
  <si>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</si>
  <si>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</si>
  <si>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</si>
  <si>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</si>
  <si>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</si>
  <si>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</si>
  <si>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</si>
  <si>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</si>
  <si>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</si>
  <si>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</si>
  <si>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</si>
  <si>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</si>
  <si>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</si>
  <si>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</si>
  <si>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</si>
  <si>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</si>
  <si>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</si>
  <si>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</si>
  <si>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</si>
  <si>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</si>
  <si>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</si>
  <si>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</si>
  <si>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</si>
  <si>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</si>
  <si>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</si>
  <si>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</si>
  <si>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</si>
  <si>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</si>
  <si>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</si>
  <si>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</si>
  <si>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</si>
  <si>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</si>
  <si>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</si>
  <si>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</si>
  <si>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</si>
  <si>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</si>
  <si>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</si>
  <si>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</si>
  <si>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</si>
  <si>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</si>
  <si>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</si>
  <si>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</si>
  <si>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</si>
  <si>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</si>
  <si>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</si>
  <si>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</si>
  <si>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</si>
  <si>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</si>
  <si>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</si>
  <si>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</si>
  <si>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</si>
  <si>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</si>
  <si>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</si>
  <si>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</si>
  <si>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</si>
  <si>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</si>
  <si>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</si>
  <si>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</si>
  <si>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</si>
  <si>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</si>
  <si>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</si>
  <si>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</si>
  <si>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</si>
  <si>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</si>
  <si>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</si>
  <si>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</si>
  <si>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</si>
  <si>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</si>
  <si>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</si>
  <si>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</si>
  <si>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</si>
  <si>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</si>
  <si>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</si>
  <si>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</si>
  <si>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</si>
  <si>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</si>
  <si>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</si>
  <si>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</si>
  <si>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</si>
  <si>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</si>
  <si>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</si>
  <si>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</si>
  <si>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</si>
  <si>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</si>
  <si>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</si>
  <si>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</si>
  <si>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</si>
  <si>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</si>
  <si>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</si>
  <si>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</si>
  <si>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</si>
  <si>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</si>
  <si>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</si>
  <si>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</si>
  <si>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</si>
  <si>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</si>
  <si>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</si>
  <si>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</si>
  <si>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</si>
  <si>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</si>
  <si>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</si>
  <si>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</si>
  <si>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</si>
  <si>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</si>
  <si>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</si>
  <si>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</si>
  <si>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</si>
  <si>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</si>
  <si>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</si>
  <si>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</si>
  <si>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</si>
  <si>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</si>
  <si>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</si>
  <si>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</si>
  <si>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</si>
  <si>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</si>
  <si>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</si>
  <si>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</si>
  <si>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</si>
  <si>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</si>
  <si>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</si>
  <si>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</si>
  <si>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</si>
  <si>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</si>
  <si>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</si>
  <si>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</si>
  <si>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</si>
  <si>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</si>
  <si>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</si>
  <si>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</si>
  <si>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</si>
  <si>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</si>
  <si>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</si>
  <si>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</si>
  <si>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</si>
  <si>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</si>
  <si>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</si>
  <si>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</si>
  <si>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</si>
  <si>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</si>
  <si>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</si>
  <si>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</si>
  <si>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</si>
  <si>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</si>
  <si>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</si>
  <si>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</si>
  <si>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</si>
  <si>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</si>
  <si>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</si>
  <si>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</si>
  <si>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</si>
  <si>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</si>
  <si>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</si>
  <si>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</si>
  <si>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</si>
  <si>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</si>
  <si>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</si>
  <si>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</si>
  <si>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</si>
  <si>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</si>
  <si>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</si>
  <si>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</si>
  <si>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</si>
  <si>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</si>
  <si>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</si>
  <si>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</si>
  <si>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</si>
  <si>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</si>
  <si>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</si>
  <si>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</si>
  <si>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</si>
  <si>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</si>
  <si>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</si>
  <si>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</si>
  <si>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</si>
  <si>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</si>
  <si>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</si>
  <si>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</si>
  <si>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</si>
  <si>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</si>
  <si>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</si>
  <si>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</si>
  <si>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</si>
  <si>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</si>
  <si>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</si>
  <si>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</si>
  <si>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</si>
  <si>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</si>
  <si>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</si>
  <si>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</si>
  <si>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</si>
  <si>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</si>
  <si>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</si>
  <si>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</si>
  <si>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</si>
  <si>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</si>
  <si>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</si>
  <si>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</si>
  <si>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</si>
  <si>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</si>
  <si>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</si>
  <si>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</si>
  <si>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</si>
  <si>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</si>
  <si>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</si>
  <si>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</si>
  <si>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</si>
  <si>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</si>
  <si>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</si>
  <si>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</si>
  <si>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</si>
  <si>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</si>
  <si>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</si>
  <si>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</si>
  <si>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</si>
  <si>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</si>
  <si>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</si>
  <si>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</si>
  <si>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</si>
  <si>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</si>
  <si>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</si>
  <si>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</si>
  <si>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</si>
  <si>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</si>
  <si>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</si>
  <si>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</si>
  <si>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</si>
  <si>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</si>
  <si>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</si>
  <si>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</si>
  <si>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</si>
  <si>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</si>
  <si>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</si>
  <si>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</si>
  <si>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</si>
  <si>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</si>
  <si>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</si>
  <si>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</si>
  <si>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</si>
  <si>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</si>
  <si>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</si>
  <si>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</si>
  <si>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</si>
  <si>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</si>
  <si>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</si>
  <si>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</si>
  <si>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</si>
  <si>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</si>
  <si>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</si>
  <si>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</si>
  <si>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</si>
  <si>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</si>
  <si>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</si>
  <si>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</si>
  <si>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</si>
  <si>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</si>
  <si>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</si>
  <si>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</si>
  <si>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</si>
  <si>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</si>
  <si>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</si>
  <si>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</si>
  <si>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</si>
  <si>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</si>
  <si>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</si>
  <si>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</si>
  <si>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</si>
  <si>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</si>
  <si>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</si>
  <si>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</si>
  <si>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</si>
  <si>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</si>
  <si>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</si>
  <si>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</si>
  <si>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</si>
  <si>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</si>
  <si>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</si>
  <si>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</si>
  <si>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</si>
  <si>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</si>
  <si>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</si>
  <si>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</si>
  <si>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</si>
  <si>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</si>
  <si>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</si>
  <si>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</si>
  <si>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</si>
  <si>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</si>
  <si>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</si>
  <si>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</si>
  <si>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</si>
  <si>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</si>
  <si>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</si>
  <si>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</si>
  <si>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</si>
  <si>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</si>
  <si>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</si>
  <si>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</si>
  <si>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</si>
  <si>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</si>
  <si>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</si>
  <si>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</si>
  <si>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</si>
  <si>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</si>
  <si>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</si>
  <si>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</si>
  <si>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</si>
  <si>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</si>
  <si>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</si>
  <si>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</si>
  <si>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</si>
  <si>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</si>
  <si>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</si>
  <si>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</si>
  <si>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</si>
  <si>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</si>
  <si>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</si>
  <si>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</si>
  <si>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</si>
  <si>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</si>
  <si>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</si>
  <si>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</si>
  <si>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</si>
  <si>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</si>
  <si>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</si>
  <si>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</si>
  <si>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</si>
  <si>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</si>
  <si>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</si>
  <si>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</si>
  <si>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</si>
  <si>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</si>
  <si>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</si>
  <si>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</si>
  <si>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</si>
  <si>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</si>
  <si>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</si>
  <si>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</si>
  <si>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</si>
  <si>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</si>
  <si>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</si>
  <si>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</si>
  <si>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</si>
  <si>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</si>
  <si>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</si>
  <si>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</si>
  <si>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</si>
  <si>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</si>
  <si>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</si>
  <si>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</si>
  <si>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</si>
  <si>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</si>
  <si>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</si>
  <si>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</si>
  <si>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</si>
  <si>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</si>
  <si>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</si>
  <si>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</si>
  <si>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</si>
  <si>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</si>
  <si>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</si>
  <si>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</si>
  <si>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</si>
  <si>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</si>
  <si>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</si>
  <si>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</si>
  <si>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</si>
  <si>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</si>
  <si>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</si>
  <si>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</si>
  <si>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</si>
  <si>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</si>
  <si>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</si>
  <si>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</si>
  <si>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</si>
  <si>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</si>
  <si>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</si>
  <si>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</si>
  <si>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</si>
  <si>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</si>
  <si>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</si>
  <si>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</si>
  <si>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</si>
  <si>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</si>
  <si>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</si>
  <si>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</si>
  <si>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</si>
  <si>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</si>
  <si>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</si>
  <si>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</si>
  <si>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</si>
  <si>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</si>
  <si>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</si>
  <si>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</si>
  <si>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</si>
  <si>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</si>
  <si>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</si>
  <si>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</si>
  <si>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</si>
  <si>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</si>
  <si>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</si>
  <si>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</si>
  <si>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</si>
  <si>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</si>
  <si>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</si>
  <si>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</si>
  <si>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</si>
  <si>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</si>
  <si>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</si>
  <si>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</si>
  <si>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</si>
  <si>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</si>
  <si>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</si>
  <si>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</si>
  <si>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</si>
  <si>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</si>
  <si>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</si>
  <si>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</si>
  <si>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</si>
  <si>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</si>
  <si>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</si>
  <si>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</si>
  <si>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</si>
  <si>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</si>
  <si>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</si>
  <si>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</si>
  <si>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</si>
  <si>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</si>
  <si>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</si>
  <si>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</si>
  <si>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</si>
  <si>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</si>
  <si>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</si>
  <si>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</si>
  <si>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</si>
  <si>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</si>
  <si>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</si>
  <si>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</si>
  <si>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</si>
  <si>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</si>
  <si>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</si>
  <si>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</si>
  <si>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</si>
  <si>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</si>
  <si>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</si>
  <si>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</si>
  <si>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</si>
  <si>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</si>
  <si>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</si>
  <si>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</si>
  <si>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</si>
  <si>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</si>
  <si>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</si>
  <si>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</si>
  <si>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</si>
  <si>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</si>
  <si>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</si>
  <si>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</si>
  <si>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</si>
  <si>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</si>
  <si>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</si>
  <si>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</si>
  <si>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</si>
  <si>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</si>
  <si>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</si>
  <si>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</si>
  <si>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</si>
  <si>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</si>
  <si>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</si>
  <si>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</si>
  <si>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</si>
  <si>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</si>
  <si>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</si>
  <si>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</si>
  <si>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</si>
  <si>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</si>
  <si>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</si>
  <si>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</si>
  <si>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</si>
  <si>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</si>
  <si>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</si>
  <si>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</si>
  <si>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</si>
  <si>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</si>
  <si>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</si>
  <si>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</si>
  <si>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</si>
  <si>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</si>
  <si>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</si>
  <si>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</si>
  <si>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</si>
  <si>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</si>
  <si>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</si>
  <si>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</si>
  <si>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</si>
  <si>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</si>
  <si>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</si>
  <si>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</si>
  <si>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</si>
  <si>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</si>
  <si>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</si>
  <si>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</si>
  <si>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</si>
  <si>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</si>
  <si>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</si>
  <si>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</si>
  <si>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</si>
  <si>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</si>
  <si>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</si>
  <si>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</si>
  <si>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</si>
  <si>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</si>
  <si>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</si>
  <si>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</si>
  <si>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</si>
  <si>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</si>
  <si>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</si>
  <si>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</si>
  <si>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</si>
  <si>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</si>
  <si>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</si>
  <si>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</si>
  <si>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</si>
  <si>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</si>
  <si>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</si>
  <si>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</si>
  <si>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</si>
  <si>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</si>
  <si>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</si>
  <si>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</si>
  <si>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</si>
  <si>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</si>
  <si>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</si>
  <si>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</si>
  <si>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</si>
  <si>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</si>
  <si>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</si>
  <si>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</si>
  <si>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</si>
  <si>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</si>
  <si>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</si>
  <si>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</si>
  <si>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</si>
  <si>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</si>
  <si>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</si>
  <si>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</si>
  <si>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</si>
  <si>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</si>
  <si>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</si>
  <si>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</si>
  <si>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出让</t>
  </si>
  <si>
    <t>是</t>
  </si>
  <si>
    <t>地上</t>
  </si>
  <si>
    <t>独立商业</t>
  </si>
  <si>
    <t>办公楼</t>
  </si>
  <si>
    <t>地下</t>
  </si>
  <si>
    <t>车库</t>
  </si>
  <si>
    <t>车库—商业</t>
  </si>
  <si>
    <t>成新度</t>
  </si>
  <si>
    <t>收益法 (2)</t>
    <phoneticPr fontId="17" type="noConversion"/>
  </si>
  <si>
    <t>收益法 (3)</t>
    <phoneticPr fontId="17" type="noConversion"/>
  </si>
  <si>
    <t>钢混</t>
  </si>
  <si>
    <t>非生产用房</t>
  </si>
  <si>
    <t>押一</t>
  </si>
  <si>
    <t>租金收入预测表</t>
  </si>
  <si>
    <t>年份</t>
  </si>
  <si>
    <t>第1年</t>
  </si>
  <si>
    <t>第2年</t>
  </si>
  <si>
    <t>第3年</t>
  </si>
  <si>
    <t>第4年</t>
  </si>
  <si>
    <t>第5年</t>
  </si>
  <si>
    <t>第6年</t>
  </si>
  <si>
    <t>第7年</t>
  </si>
  <si>
    <t>第8年</t>
  </si>
  <si>
    <t>第9年</t>
  </si>
  <si>
    <t>第10年</t>
  </si>
  <si>
    <t>第11年</t>
  </si>
  <si>
    <t>第12年</t>
  </si>
  <si>
    <t>第13年</t>
  </si>
  <si>
    <t>第14年</t>
  </si>
  <si>
    <t>第15年</t>
  </si>
  <si>
    <t>15年合计</t>
  </si>
  <si>
    <t>2018年</t>
  </si>
  <si>
    <t>2019年</t>
  </si>
  <si>
    <t>2020年</t>
  </si>
  <si>
    <t>2021年</t>
  </si>
  <si>
    <t>2022年</t>
  </si>
  <si>
    <t>2023年</t>
  </si>
  <si>
    <t>2024年</t>
  </si>
  <si>
    <t>2025年</t>
  </si>
  <si>
    <t>2026年</t>
  </si>
  <si>
    <t>2027年</t>
  </si>
  <si>
    <t>2028年</t>
  </si>
  <si>
    <t>2029年</t>
  </si>
  <si>
    <t>2030年</t>
  </si>
  <si>
    <t>2031年</t>
  </si>
  <si>
    <t>2032年</t>
  </si>
  <si>
    <t>总收入</t>
  </si>
  <si>
    <t>一、乐成中心</t>
  </si>
  <si>
    <t>（一）办公部分</t>
  </si>
  <si>
    <t>（1）出租面积（㎡）</t>
  </si>
  <si>
    <r>
      <t>（2）租金价格（元/㎡</t>
    </r>
    <r>
      <rPr>
        <sz val="10"/>
        <rFont val="宋体"/>
        <family val="3"/>
        <charset val="134"/>
      </rPr>
      <t>.</t>
    </r>
    <r>
      <rPr>
        <sz val="10"/>
        <rFont val="宋体"/>
        <family val="3"/>
        <charset val="134"/>
      </rPr>
      <t>天</t>
    </r>
    <r>
      <rPr>
        <sz val="10"/>
        <rFont val="宋体"/>
        <family val="3"/>
        <charset val="134"/>
      </rPr>
      <t>）</t>
    </r>
  </si>
  <si>
    <t>（3）出租率</t>
  </si>
  <si>
    <t>（二）商业部分</t>
  </si>
  <si>
    <t>（2）出租价格（元/㎡.天）</t>
  </si>
  <si>
    <t>（三）车库部分</t>
  </si>
  <si>
    <t>（1）车库个数</t>
  </si>
  <si>
    <t>（2）出租价格（元/个.月）</t>
  </si>
  <si>
    <t>二、广告牌出租收入</t>
  </si>
  <si>
    <t>1.写字楼：第1期出租价格按2018年度实际出租均价列示，改造后该项目整体品质提升，故第2-3年每年增长5%，之后每两年增长6%</t>
  </si>
  <si>
    <r>
      <t>2</t>
    </r>
    <r>
      <rPr>
        <sz val="10"/>
        <rFont val="宋体"/>
        <family val="3"/>
        <charset val="134"/>
      </rPr>
      <t>.商业：第1期出租价格参照201</t>
    </r>
    <r>
      <rPr>
        <sz val="10"/>
        <rFont val="宋体"/>
        <family val="3"/>
        <charset val="134"/>
      </rPr>
      <t>8</t>
    </r>
    <r>
      <rPr>
        <sz val="10"/>
        <rFont val="宋体"/>
        <family val="3"/>
        <charset val="134"/>
      </rPr>
      <t>年度开业后预计出租价格列示，改造后该项目整体品质提升，故第</t>
    </r>
    <r>
      <rPr>
        <sz val="10"/>
        <rFont val="宋体"/>
        <family val="3"/>
        <charset val="134"/>
      </rPr>
      <t>2-3</t>
    </r>
    <r>
      <rPr>
        <sz val="10"/>
        <rFont val="宋体"/>
        <family val="3"/>
        <charset val="134"/>
      </rPr>
      <t>年每年增长</t>
    </r>
    <r>
      <rPr>
        <sz val="10"/>
        <rFont val="宋体"/>
        <family val="3"/>
        <charset val="134"/>
      </rPr>
      <t>5%</t>
    </r>
    <r>
      <rPr>
        <sz val="10"/>
        <rFont val="宋体"/>
        <family val="3"/>
        <charset val="134"/>
      </rPr>
      <t>，之后每两年增长</t>
    </r>
    <r>
      <rPr>
        <sz val="10"/>
        <rFont val="宋体"/>
        <family val="3"/>
        <charset val="134"/>
      </rPr>
      <t>6%</t>
    </r>
  </si>
  <si>
    <r>
      <rPr>
        <sz val="10"/>
        <rFont val="宋体"/>
        <family val="3"/>
        <charset val="134"/>
      </rPr>
      <t>3.广告位收入：第1期出租价格参照2018年度预测出租价格列示，改造后该项目整体品质提升，之后每两年增长10</t>
    </r>
    <r>
      <rPr>
        <sz val="10"/>
        <rFont val="宋体"/>
        <family val="3"/>
        <charset val="134"/>
      </rPr>
      <t>%</t>
    </r>
  </si>
  <si>
    <t>商业</t>
    <phoneticPr fontId="144" type="noConversion"/>
  </si>
  <si>
    <t>1层</t>
    <phoneticPr fontId="144" type="noConversion"/>
  </si>
  <si>
    <t>2层</t>
    <phoneticPr fontId="144" type="noConversion"/>
  </si>
  <si>
    <t>3层</t>
    <phoneticPr fontId="144" type="noConversion"/>
  </si>
  <si>
    <t>地下3层</t>
    <phoneticPr fontId="144" type="noConversion"/>
  </si>
  <si>
    <t>地下2层</t>
    <phoneticPr fontId="144" type="noConversion"/>
  </si>
  <si>
    <t>地下1层</t>
    <phoneticPr fontId="144" type="noConversion"/>
  </si>
  <si>
    <t>办公</t>
    <phoneticPr fontId="144" type="noConversion"/>
  </si>
  <si>
    <t>4层以上</t>
    <phoneticPr fontId="144" type="noConversion"/>
  </si>
  <si>
    <t>地下车库</t>
    <phoneticPr fontId="144" type="noConversion"/>
  </si>
  <si>
    <t>设备</t>
    <phoneticPr fontId="144" type="noConversion"/>
  </si>
  <si>
    <t>单价</t>
    <phoneticPr fontId="144" type="noConversion"/>
  </si>
  <si>
    <t>总价</t>
    <phoneticPr fontId="144" type="noConversion"/>
  </si>
  <si>
    <t>单价</t>
    <phoneticPr fontId="144" type="noConversion"/>
  </si>
  <si>
    <t>总价</t>
    <phoneticPr fontId="144" type="noConversion"/>
  </si>
  <si>
    <t>总价</t>
    <phoneticPr fontId="144" type="noConversion"/>
  </si>
  <si>
    <t>刘梅</t>
  </si>
  <si>
    <t>吴薇</t>
  </si>
  <si>
    <t>北京达义北方置业有限公司</t>
    <phoneticPr fontId="7" type="noConversion"/>
  </si>
  <si>
    <t>抵押</t>
  </si>
  <si>
    <t>房地产抵押价值</t>
  </si>
  <si>
    <t>北京市</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</si>
  <si>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00129</t>
    </r>
    <r>
      <rPr>
        <sz val="12"/>
        <color theme="9" tint="-0.249977111117893"/>
        <rFont val="宋体"/>
        <family val="3"/>
        <charset val="134"/>
      </rPr>
      <t>号</t>
    </r>
    <r>
      <rPr>
        <sz val="12"/>
        <color theme="9" tint="-0.249977111117893"/>
        <rFont val="Arial"/>
        <family val="2"/>
      </rPr>
      <t>]</t>
    </r>
    <phoneticPr fontId="7" type="noConversion"/>
  </si>
  <si>
    <t>否</t>
  </si>
  <si>
    <t>原件</t>
  </si>
  <si>
    <t>工商银行股份有限公司北京九龙山支行</t>
    <phoneticPr fontId="7" type="noConversion"/>
  </si>
  <si>
    <t>全部土地及全部房屋</t>
    <phoneticPr fontId="7" type="noConversion"/>
  </si>
  <si>
    <r>
      <t>402609</t>
    </r>
    <r>
      <rPr>
        <sz val="10"/>
        <color theme="9" tint="-0.249977111117893"/>
        <rFont val="宋体"/>
        <family val="3"/>
        <charset val="134"/>
      </rPr>
      <t>万元</t>
    </r>
    <phoneticPr fontId="7" type="noConversion"/>
  </si>
  <si>
    <t>办公项目</t>
  </si>
  <si>
    <t>无</t>
  </si>
  <si>
    <t>现房</t>
  </si>
  <si>
    <t>正常</t>
    <phoneticPr fontId="7" type="noConversion"/>
  </si>
  <si>
    <t>通路</t>
  </si>
  <si>
    <t>通电</t>
  </si>
  <si>
    <t>通讯</t>
  </si>
  <si>
    <t>通上水</t>
  </si>
  <si>
    <t>通下水</t>
  </si>
  <si>
    <t>乐成中心写字楼出租明细表</t>
    <phoneticPr fontId="257" type="noConversion"/>
  </si>
  <si>
    <t>单元名称</t>
  </si>
  <si>
    <t>租户名称</t>
  </si>
  <si>
    <t>合同期限</t>
  </si>
  <si>
    <t>A6F</t>
  </si>
  <si>
    <t>月付</t>
    <phoneticPr fontId="257" type="noConversion"/>
  </si>
  <si>
    <t>A0801-0805</t>
  </si>
  <si>
    <t>A0806-0809</t>
  </si>
  <si>
    <t>A0902-0903</t>
  </si>
  <si>
    <t>A1101-02</t>
  </si>
  <si>
    <t>A1106</t>
    <phoneticPr fontId="257" type="noConversion"/>
  </si>
  <si>
    <t>A1106-1108</t>
    <phoneticPr fontId="257" type="noConversion"/>
  </si>
  <si>
    <t>A1109</t>
    <phoneticPr fontId="257" type="noConversion"/>
  </si>
  <si>
    <t>A12F</t>
  </si>
  <si>
    <t>A15F</t>
    <phoneticPr fontId="257" type="noConversion"/>
  </si>
  <si>
    <t>A16-17F</t>
  </si>
  <si>
    <t>A2101</t>
    <phoneticPr fontId="257" type="noConversion"/>
  </si>
  <si>
    <t>A2106-09</t>
    <phoneticPr fontId="257" type="noConversion"/>
  </si>
  <si>
    <t>A25F</t>
  </si>
  <si>
    <t>A26F</t>
  </si>
  <si>
    <t>A29F</t>
  </si>
  <si>
    <t>B0505</t>
  </si>
  <si>
    <t>B0506</t>
  </si>
  <si>
    <t>B0606</t>
  </si>
  <si>
    <t>B0607-608</t>
  </si>
  <si>
    <t>B0706-07</t>
    <phoneticPr fontId="257" type="noConversion"/>
  </si>
  <si>
    <t>B0708</t>
  </si>
  <si>
    <t>B0709</t>
  </si>
  <si>
    <t>B0801-803</t>
  </si>
  <si>
    <t>B0805</t>
  </si>
  <si>
    <t>B0806</t>
  </si>
  <si>
    <t>B0807-0809</t>
  </si>
  <si>
    <t>B9F</t>
  </si>
  <si>
    <t>B1005-1007</t>
  </si>
  <si>
    <t>B1008-1009</t>
  </si>
  <si>
    <t>B1101</t>
  </si>
  <si>
    <t>B1102</t>
  </si>
  <si>
    <t>B1106-1109</t>
  </si>
  <si>
    <t>B1501</t>
  </si>
  <si>
    <t>B1502</t>
  </si>
  <si>
    <t>B1506-07</t>
    <phoneticPr fontId="257" type="noConversion"/>
  </si>
  <si>
    <t>B1508-09</t>
    <phoneticPr fontId="257" type="noConversion"/>
  </si>
  <si>
    <t>B1601-05</t>
  </si>
  <si>
    <t>B1606-07</t>
    <phoneticPr fontId="257" type="noConversion"/>
  </si>
  <si>
    <t>B1608-09</t>
  </si>
  <si>
    <t>B1701-1703</t>
  </si>
  <si>
    <t>B19F</t>
  </si>
  <si>
    <t>B2203-05</t>
    <phoneticPr fontId="257" type="noConversion"/>
  </si>
  <si>
    <t>B2301</t>
    <phoneticPr fontId="4" type="noConversion"/>
  </si>
  <si>
    <t>B2302</t>
  </si>
  <si>
    <t>B2303-06</t>
    <phoneticPr fontId="4" type="noConversion"/>
  </si>
  <si>
    <t>B2307-09</t>
    <phoneticPr fontId="4" type="noConversion"/>
  </si>
  <si>
    <t>B25F</t>
    <phoneticPr fontId="257" type="noConversion"/>
  </si>
  <si>
    <t>B2605</t>
    <phoneticPr fontId="4" type="noConversion"/>
  </si>
  <si>
    <t>B30F</t>
  </si>
  <si>
    <t>商业Space3出租明细表</t>
    <phoneticPr fontId="257" type="noConversion"/>
  </si>
  <si>
    <t>面积</t>
  </si>
  <si>
    <t>合同号</t>
  </si>
  <si>
    <t>单价</t>
    <phoneticPr fontId="257" type="noConversion"/>
  </si>
  <si>
    <t>支付方式</t>
    <phoneticPr fontId="257" type="noConversion"/>
  </si>
  <si>
    <t>L123</t>
    <phoneticPr fontId="257" type="noConversion"/>
  </si>
  <si>
    <t>华联咖世家（北京）餐饮管理有限公司</t>
    <phoneticPr fontId="257" type="noConversion"/>
  </si>
  <si>
    <t>2017-05-01至2022-04-30</t>
    <phoneticPr fontId="257" type="noConversion"/>
  </si>
  <si>
    <t>L213、214、部分L212号</t>
    <phoneticPr fontId="257" type="noConversion"/>
  </si>
  <si>
    <t>李国花</t>
    <phoneticPr fontId="257" type="noConversion"/>
  </si>
  <si>
    <t>B1-12</t>
    <phoneticPr fontId="257" type="noConversion"/>
  </si>
  <si>
    <t>北京喜雨餐饮店（有限合伙）</t>
    <phoneticPr fontId="257" type="noConversion"/>
  </si>
  <si>
    <t>2017-05-01至2021-04-30</t>
    <phoneticPr fontId="257" type="noConversion"/>
  </si>
  <si>
    <t>L1-10</t>
    <phoneticPr fontId="257" type="noConversion"/>
  </si>
  <si>
    <t>北京牛角村餐饮管理有限公司</t>
    <phoneticPr fontId="257" type="noConversion"/>
  </si>
  <si>
    <t>L2-08/09</t>
    <phoneticPr fontId="257" type="noConversion"/>
  </si>
  <si>
    <t>北京牛排家西餐有限公司</t>
    <phoneticPr fontId="257" type="noConversion"/>
  </si>
  <si>
    <t>2017-05-01至2023-04-30</t>
    <phoneticPr fontId="257" type="noConversion"/>
  </si>
  <si>
    <t>L102-b B103-b</t>
    <phoneticPr fontId="257" type="noConversion"/>
  </si>
  <si>
    <t>北京盒马网络科技有限公司</t>
    <phoneticPr fontId="257" type="noConversion"/>
  </si>
  <si>
    <t>2017-05-01至2025-04-30</t>
    <phoneticPr fontId="257" type="noConversion"/>
  </si>
  <si>
    <t>B2整层</t>
    <phoneticPr fontId="257" type="noConversion"/>
  </si>
  <si>
    <t>最长租赁期</t>
    <phoneticPr fontId="144" type="noConversion"/>
  </si>
  <si>
    <t>年总租金</t>
    <phoneticPr fontId="144" type="noConversion"/>
  </si>
  <si>
    <t>总面积</t>
    <phoneticPr fontId="144" type="noConversion"/>
  </si>
  <si>
    <t>平均租金</t>
    <phoneticPr fontId="144" type="noConversion"/>
  </si>
  <si>
    <t>商业</t>
    <phoneticPr fontId="144" type="noConversion"/>
  </si>
  <si>
    <t>最长租赁期</t>
    <phoneticPr fontId="144" type="noConversion"/>
  </si>
  <si>
    <t>单位租金</t>
    <phoneticPr fontId="144" type="noConversion"/>
  </si>
  <si>
    <t>年总租金</t>
    <phoneticPr fontId="144" type="noConversion"/>
  </si>
  <si>
    <t>年总租金</t>
    <phoneticPr fontId="144" type="noConversion"/>
  </si>
  <si>
    <t>地上</t>
    <phoneticPr fontId="144" type="noConversion"/>
  </si>
  <si>
    <t>地下</t>
    <phoneticPr fontId="144" type="noConversion"/>
  </si>
  <si>
    <t>租金</t>
  </si>
  <si>
    <t>乐城国际</t>
    <phoneticPr fontId="4" type="noConversion"/>
  </si>
  <si>
    <t>富力双子座</t>
    <phoneticPr fontId="4" type="noConversion"/>
  </si>
  <si>
    <t>百环大厦写字楼</t>
    <phoneticPr fontId="4" type="noConversion"/>
  </si>
  <si>
    <t>高速</t>
    <phoneticPr fontId="144" type="noConversion"/>
  </si>
  <si>
    <t>快速</t>
  </si>
  <si>
    <t>快速</t>
    <phoneticPr fontId="144" type="noConversion"/>
  </si>
  <si>
    <t>主</t>
    <phoneticPr fontId="144" type="noConversion"/>
  </si>
  <si>
    <t>次</t>
    <phoneticPr fontId="144" type="noConversion"/>
  </si>
  <si>
    <t>支</t>
  </si>
  <si>
    <t>支</t>
    <phoneticPr fontId="144" type="noConversion"/>
  </si>
  <si>
    <t>高区</t>
  </si>
  <si>
    <t>高区</t>
    <phoneticPr fontId="144" type="noConversion"/>
  </si>
  <si>
    <t>中区</t>
  </si>
  <si>
    <t>中区</t>
    <phoneticPr fontId="144" type="noConversion"/>
  </si>
  <si>
    <t>低区</t>
  </si>
  <si>
    <t>低区</t>
    <phoneticPr fontId="144" type="noConversion"/>
  </si>
  <si>
    <t>写字楼</t>
  </si>
  <si>
    <t>写字楼</t>
    <phoneticPr fontId="144" type="noConversion"/>
  </si>
  <si>
    <t>钢</t>
    <phoneticPr fontId="144" type="noConversion"/>
  </si>
  <si>
    <t>钢混</t>
    <phoneticPr fontId="144" type="noConversion"/>
  </si>
  <si>
    <t>砖混</t>
    <phoneticPr fontId="144" type="noConversion"/>
  </si>
  <si>
    <t>精装修</t>
  </si>
  <si>
    <t>精装修</t>
    <phoneticPr fontId="144" type="noConversion"/>
  </si>
  <si>
    <t>普通装修</t>
  </si>
  <si>
    <t>普通装修</t>
    <phoneticPr fontId="144" type="noConversion"/>
  </si>
  <si>
    <t>简装修</t>
    <phoneticPr fontId="144" type="noConversion"/>
  </si>
  <si>
    <t>毛坯</t>
    <phoneticPr fontId="144" type="noConversion"/>
  </si>
  <si>
    <t>5A</t>
  </si>
  <si>
    <t>5A</t>
    <phoneticPr fontId="144" type="noConversion"/>
  </si>
  <si>
    <t>甲级</t>
  </si>
  <si>
    <t>甲级</t>
    <phoneticPr fontId="144" type="noConversion"/>
  </si>
  <si>
    <t>乙级</t>
    <phoneticPr fontId="144" type="noConversion"/>
  </si>
  <si>
    <t>丙级</t>
    <phoneticPr fontId="144" type="noConversion"/>
  </si>
  <si>
    <t>专业</t>
  </si>
  <si>
    <t>专业</t>
    <phoneticPr fontId="144" type="noConversion"/>
  </si>
  <si>
    <t>普通</t>
    <phoneticPr fontId="144" type="noConversion"/>
  </si>
  <si>
    <t>七通</t>
  </si>
  <si>
    <t>七通</t>
    <phoneticPr fontId="144" type="noConversion"/>
  </si>
  <si>
    <t>六通</t>
  </si>
  <si>
    <t>六通</t>
    <phoneticPr fontId="144" type="noConversion"/>
  </si>
  <si>
    <t>五通</t>
    <phoneticPr fontId="144" type="noConversion"/>
  </si>
  <si>
    <t>四通</t>
    <phoneticPr fontId="144" type="noConversion"/>
  </si>
  <si>
    <t>三通</t>
    <phoneticPr fontId="144" type="noConversion"/>
  </si>
  <si>
    <t>超高层高</t>
    <phoneticPr fontId="144" type="noConversion"/>
  </si>
  <si>
    <t>标准层高</t>
  </si>
  <si>
    <t>标准层高</t>
    <phoneticPr fontId="144" type="noConversion"/>
  </si>
  <si>
    <r>
      <t>0</t>
    </r>
    <r>
      <rPr>
        <sz val="11"/>
        <color indexed="8"/>
        <rFont val="宋体"/>
        <family val="3"/>
        <charset val="134"/>
      </rPr>
      <t>（含）</t>
    </r>
    <r>
      <rPr>
        <sz val="11"/>
        <color indexed="8"/>
        <rFont val="Arial"/>
        <family val="2"/>
      </rPr>
      <t>-300</t>
    </r>
    <phoneticPr fontId="144" type="noConversion"/>
  </si>
  <si>
    <r>
      <t>300</t>
    </r>
    <r>
      <rPr>
        <sz val="11"/>
        <color indexed="8"/>
        <rFont val="宋体"/>
        <family val="3"/>
        <charset val="134"/>
      </rPr>
      <t>（含）</t>
    </r>
    <r>
      <rPr>
        <sz val="11"/>
        <color indexed="8"/>
        <rFont val="Arial"/>
        <family val="2"/>
      </rPr>
      <t>-600</t>
    </r>
    <phoneticPr fontId="144" type="noConversion"/>
  </si>
  <si>
    <r>
      <t>600</t>
    </r>
    <r>
      <rPr>
        <sz val="11"/>
        <color indexed="8"/>
        <rFont val="宋体"/>
        <family val="3"/>
        <charset val="134"/>
      </rPr>
      <t>（含）以上</t>
    </r>
    <phoneticPr fontId="144" type="noConversion"/>
  </si>
  <si>
    <t>正常</t>
  </si>
  <si>
    <t>30-40（含）</t>
  </si>
  <si>
    <t>佳龙大厦</t>
    <phoneticPr fontId="4" type="noConversion"/>
  </si>
  <si>
    <t>较好</t>
  </si>
  <si>
    <t>好</t>
  </si>
  <si>
    <t>一般</t>
  </si>
  <si>
    <r>
      <rPr>
        <sz val="11"/>
        <rFont val="宋体"/>
        <family val="3"/>
        <charset val="134"/>
      </rPr>
      <t>快速路</t>
    </r>
    <r>
      <rPr>
        <sz val="11"/>
        <rFont val="Arial"/>
        <family val="2"/>
      </rPr>
      <t>-</t>
    </r>
    <r>
      <rPr>
        <sz val="11"/>
        <rFont val="宋体"/>
        <family val="3"/>
        <charset val="134"/>
      </rPr>
      <t>东三环南路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</si>
  <si>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</si>
  <si>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</si>
  <si>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t>城市支路—八棵杨北街</t>
    <phoneticPr fontId="144" type="noConversion"/>
  </si>
  <si>
    <r>
      <t>2</t>
    </r>
    <r>
      <rPr>
        <sz val="11"/>
        <color theme="1"/>
        <rFont val="宋体"/>
        <family val="3"/>
        <charset val="134"/>
        <scheme val="minor"/>
      </rPr>
      <t>0号楼</t>
    </r>
    <phoneticPr fontId="144" type="noConversion"/>
  </si>
  <si>
    <t>序号</t>
    <phoneticPr fontId="144" type="noConversion"/>
  </si>
  <si>
    <t>序号或部位</t>
    <phoneticPr fontId="144" type="noConversion"/>
  </si>
  <si>
    <t>建筑面积</t>
    <phoneticPr fontId="144" type="noConversion"/>
  </si>
  <si>
    <t>用途</t>
    <phoneticPr fontId="144" type="noConversion"/>
  </si>
  <si>
    <t>层数</t>
    <phoneticPr fontId="144" type="noConversion"/>
  </si>
  <si>
    <t>总地上/地下</t>
    <phoneticPr fontId="144" type="noConversion"/>
  </si>
  <si>
    <t>所在</t>
    <phoneticPr fontId="144" type="noConversion"/>
  </si>
  <si>
    <t>商业用房</t>
    <phoneticPr fontId="144" type="noConversion"/>
  </si>
  <si>
    <t>办公用房</t>
    <phoneticPr fontId="144" type="noConversion"/>
  </si>
  <si>
    <r>
      <t>2</t>
    </r>
    <r>
      <rPr>
        <sz val="11"/>
        <color theme="1"/>
        <rFont val="宋体"/>
        <family val="3"/>
        <charset val="134"/>
        <scheme val="minor"/>
      </rPr>
      <t>6/-3</t>
    </r>
    <phoneticPr fontId="144" type="noConversion"/>
  </si>
  <si>
    <t>26/-3</t>
  </si>
  <si>
    <t>26/-3</t>
    <phoneticPr fontId="144" type="noConversion"/>
  </si>
  <si>
    <r>
      <t>2</t>
    </r>
    <r>
      <rPr>
        <sz val="11"/>
        <color theme="1"/>
        <rFont val="宋体"/>
        <family val="3"/>
        <charset val="134"/>
        <scheme val="minor"/>
      </rPr>
      <t>6/-3</t>
    </r>
    <r>
      <rPr>
        <sz val="11"/>
        <color theme="1"/>
        <rFont val="宋体"/>
        <family val="2"/>
        <charset val="134"/>
        <scheme val="minor"/>
      </rPr>
      <t/>
    </r>
  </si>
  <si>
    <t>——</t>
    <phoneticPr fontId="144" type="noConversion"/>
  </si>
  <si>
    <r>
      <t>2</t>
    </r>
    <r>
      <rPr>
        <sz val="11"/>
        <color theme="1"/>
        <rFont val="宋体"/>
        <family val="3"/>
        <charset val="134"/>
        <scheme val="minor"/>
      </rPr>
      <t>2号楼</t>
    </r>
    <phoneticPr fontId="144" type="noConversion"/>
  </si>
  <si>
    <t>设备用房</t>
    <phoneticPr fontId="144" type="noConversion"/>
  </si>
  <si>
    <t>2/-3</t>
  </si>
  <si>
    <t>2/-3</t>
    <phoneticPr fontId="144" type="noConversion"/>
  </si>
  <si>
    <r>
      <t>2/-3</t>
    </r>
    <r>
      <rPr>
        <sz val="11"/>
        <color theme="1"/>
        <rFont val="宋体"/>
        <family val="2"/>
        <charset val="134"/>
        <scheme val="minor"/>
      </rPr>
      <t/>
    </r>
    <phoneticPr fontId="144" type="noConversion"/>
  </si>
  <si>
    <t>合计</t>
    <phoneticPr fontId="144" type="noConversion"/>
  </si>
  <si>
    <t>——</t>
    <phoneticPr fontId="144" type="noConversion"/>
  </si>
  <si>
    <t>——</t>
    <phoneticPr fontId="144" type="noConversion"/>
  </si>
  <si>
    <r>
      <t>2</t>
    </r>
    <r>
      <rPr>
        <sz val="11"/>
        <color theme="1"/>
        <rFont val="宋体"/>
        <family val="3"/>
        <charset val="134"/>
        <scheme val="minor"/>
      </rPr>
      <t>4号楼</t>
    </r>
    <phoneticPr fontId="144" type="noConversion"/>
  </si>
  <si>
    <t>小计</t>
    <phoneticPr fontId="144" type="noConversion"/>
  </si>
  <si>
    <t>基准户型</t>
    <phoneticPr fontId="144" type="noConversion"/>
  </si>
  <si>
    <t>已出租办公</t>
  </si>
  <si>
    <t>售价</t>
  </si>
  <si>
    <t>需扣减承租人权益</t>
  </si>
  <si>
    <t>比较法-办公已租</t>
    <phoneticPr fontId="17" type="noConversion"/>
  </si>
  <si>
    <t>典型户型修正-已租</t>
    <phoneticPr fontId="17" type="noConversion"/>
  </si>
  <si>
    <t>收益法-办公已租</t>
    <phoneticPr fontId="17" type="noConversion"/>
  </si>
  <si>
    <t>比较法-办公未租</t>
    <phoneticPr fontId="17" type="noConversion"/>
  </si>
  <si>
    <t>典型户型修正-未租</t>
    <phoneticPr fontId="17" type="noConversion"/>
  </si>
  <si>
    <t>收益法-办公未租</t>
    <phoneticPr fontId="17" type="noConversion"/>
  </si>
  <si>
    <t>富力双子座B座</t>
    <phoneticPr fontId="4" type="noConversion"/>
  </si>
  <si>
    <t>富尔大厦</t>
    <phoneticPr fontId="4" type="noConversion"/>
  </si>
  <si>
    <t>建外SOHO</t>
    <phoneticPr fontId="4" type="noConversion"/>
  </si>
  <si>
    <r>
      <t>20</t>
    </r>
    <r>
      <rPr>
        <sz val="10"/>
        <color indexed="8"/>
        <rFont val="宋体"/>
        <family val="3"/>
        <charset val="134"/>
      </rPr>
      <t>、</t>
    </r>
    <r>
      <rPr>
        <sz val="10"/>
        <color indexed="8"/>
        <rFont val="Arial"/>
        <family val="2"/>
      </rPr>
      <t>24</t>
    </r>
    <phoneticPr fontId="4" type="noConversion"/>
  </si>
  <si>
    <t>3层商业</t>
    <phoneticPr fontId="144" type="noConversion"/>
  </si>
  <si>
    <t>办公</t>
    <phoneticPr fontId="144" type="noConversion"/>
  </si>
  <si>
    <t>增长率</t>
    <phoneticPr fontId="144" type="noConversion"/>
  </si>
  <si>
    <t>空置率</t>
    <phoneticPr fontId="14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</si>
  <si>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</si>
  <si>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</si>
  <si>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</si>
  <si>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</si>
  <si>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</si>
  <si>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</si>
  <si>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</si>
  <si>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</si>
  <si>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</si>
  <si>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</si>
  <si>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</si>
  <si>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</si>
  <si>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</si>
  <si>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</si>
  <si>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</si>
  <si>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</si>
  <si>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4" type="noConversion"/>
  </si>
  <si>
    <t>收益法-办公已租</t>
  </si>
  <si>
    <t>比较法</t>
    <phoneticPr fontId="144" type="noConversion"/>
  </si>
  <si>
    <t>单价</t>
    <phoneticPr fontId="144" type="noConversion"/>
  </si>
  <si>
    <t>收益法</t>
    <phoneticPr fontId="144" type="noConversion"/>
  </si>
  <si>
    <t>未出租办公</t>
  </si>
  <si>
    <t>收益法-办公未租</t>
  </si>
  <si>
    <t>面积</t>
    <phoneticPr fontId="144" type="noConversion"/>
  </si>
  <si>
    <t>总价</t>
    <phoneticPr fontId="144" type="noConversion"/>
  </si>
  <si>
    <t>差值</t>
    <phoneticPr fontId="144" type="noConversion"/>
  </si>
  <si>
    <t>权重</t>
    <phoneticPr fontId="144" type="noConversion"/>
  </si>
  <si>
    <t>总价值</t>
    <phoneticPr fontId="144" type="noConversion"/>
  </si>
  <si>
    <t>单价</t>
    <phoneticPr fontId="144" type="noConversion"/>
  </si>
  <si>
    <t>多面临街</t>
  </si>
  <si>
    <t>多面临街</t>
    <phoneticPr fontId="32" type="noConversion"/>
  </si>
  <si>
    <t>双面临街</t>
  </si>
  <si>
    <t>双面临街</t>
    <phoneticPr fontId="32" type="noConversion"/>
  </si>
  <si>
    <t>单面临街</t>
  </si>
  <si>
    <t>单面临街</t>
    <phoneticPr fontId="32" type="noConversion"/>
  </si>
  <si>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</si>
  <si>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</si>
  <si>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</si>
  <si>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</si>
  <si>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</si>
  <si>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</si>
  <si>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较好</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</si>
  <si>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</si>
  <si>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</si>
  <si>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r>
      <t>3</t>
    </r>
    <r>
      <rPr>
        <sz val="11"/>
        <color indexed="8"/>
        <rFont val="宋体"/>
        <family val="3"/>
        <charset val="134"/>
      </rPr>
      <t>层</t>
    </r>
    <phoneticPr fontId="32" type="noConversion"/>
  </si>
  <si>
    <r>
      <t>4</t>
    </r>
    <r>
      <rPr>
        <sz val="11"/>
        <color indexed="8"/>
        <rFont val="宋体"/>
        <family val="3"/>
        <charset val="134"/>
      </rPr>
      <t>层及以上</t>
    </r>
    <phoneticPr fontId="32"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</si>
  <si>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</si>
  <si>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</si>
  <si>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商业街商铺</t>
    <phoneticPr fontId="32" type="noConversion"/>
  </si>
  <si>
    <t>独立商业</t>
    <phoneticPr fontId="32" type="noConversion"/>
  </si>
  <si>
    <t>住宅底商</t>
  </si>
  <si>
    <t>写字楼配套商业</t>
  </si>
  <si>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</si>
  <si>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</si>
  <si>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</si>
  <si>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</si>
  <si>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</si>
  <si>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</si>
  <si>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</si>
  <si>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</si>
  <si>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</si>
  <si>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</si>
  <si>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</si>
  <si>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</si>
  <si>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</si>
  <si>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</si>
  <si>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</si>
  <si>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</si>
  <si>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超高层高</t>
    <phoneticPr fontId="32" type="noConversion"/>
  </si>
  <si>
    <t>标准层高</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</si>
  <si>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</si>
  <si>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</si>
  <si>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</si>
  <si>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</si>
  <si>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</si>
  <si>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已出租商业</t>
  </si>
  <si>
    <t>时代国际</t>
    <phoneticPr fontId="4" type="noConversion"/>
  </si>
  <si>
    <t>乐城国际</t>
    <phoneticPr fontId="4" type="noConversion"/>
  </si>
  <si>
    <t>富力城C区底商</t>
    <phoneticPr fontId="4" type="noConversion"/>
  </si>
  <si>
    <t>合生国际花园</t>
    <phoneticPr fontId="4" type="noConversion"/>
  </si>
  <si>
    <t>商业</t>
    <phoneticPr fontId="32" type="noConversion"/>
  </si>
  <si>
    <t>20-30（含）</t>
  </si>
  <si>
    <t>一般</t>
    <phoneticPr fontId="32" type="noConversion"/>
  </si>
  <si>
    <t>3层</t>
  </si>
  <si>
    <t>1层</t>
  </si>
  <si>
    <t>20幢商业</t>
    <phoneticPr fontId="144" type="noConversion"/>
  </si>
  <si>
    <r>
      <t>24</t>
    </r>
    <r>
      <rPr>
        <sz val="10"/>
        <color indexed="8"/>
        <rFont val="宋体"/>
        <family val="3"/>
        <charset val="134"/>
      </rPr>
      <t>幢商业</t>
    </r>
    <phoneticPr fontId="144" type="noConversion"/>
  </si>
  <si>
    <t>收益法-商业已租</t>
  </si>
  <si>
    <t>收益法-商业已租</t>
    <phoneticPr fontId="17" type="noConversion"/>
  </si>
  <si>
    <t>建外SOHO</t>
    <phoneticPr fontId="4" type="noConversion"/>
  </si>
  <si>
    <t>双花园小区商铺</t>
    <phoneticPr fontId="4" type="noConversion"/>
  </si>
  <si>
    <t>商业</t>
    <phoneticPr fontId="144" type="noConversion"/>
  </si>
  <si>
    <t>剩余租赁期</t>
    <phoneticPr fontId="144" type="noConversion"/>
  </si>
  <si>
    <t>收益法-未租商业</t>
  </si>
  <si>
    <t>收益法-未租商业</t>
    <phoneticPr fontId="17" type="noConversion"/>
  </si>
  <si>
    <t>未出租商业</t>
  </si>
  <si>
    <t>汇总</t>
    <phoneticPr fontId="144" type="noConversion"/>
  </si>
  <si>
    <t>办公</t>
    <phoneticPr fontId="144" type="noConversion"/>
  </si>
  <si>
    <t>总价</t>
    <phoneticPr fontId="144" type="noConversion"/>
  </si>
  <si>
    <t>商业</t>
    <phoneticPr fontId="144" type="noConversion"/>
  </si>
  <si>
    <t>合计</t>
    <phoneticPr fontId="144" type="noConversion"/>
  </si>
  <si>
    <t>收益法-车库</t>
    <phoneticPr fontId="17" type="noConversion"/>
  </si>
  <si>
    <t>商务金融用地（商业类）</t>
  </si>
  <si>
    <t>估价对象容积率</t>
  </si>
  <si>
    <t>七通一平</t>
  </si>
  <si>
    <t>不临58条商业街</t>
  </si>
  <si>
    <t>一致</t>
  </si>
  <si>
    <t>新增面积</t>
    <phoneticPr fontId="144" type="noConversion"/>
  </si>
  <si>
    <t>地上商业</t>
    <phoneticPr fontId="144" type="noConversion"/>
  </si>
  <si>
    <t>设备用房</t>
    <phoneticPr fontId="144" type="noConversion"/>
  </si>
  <si>
    <t>一体化</t>
    <phoneticPr fontId="144" type="noConversion"/>
  </si>
  <si>
    <t>地上一层</t>
    <phoneticPr fontId="144" type="noConversion"/>
  </si>
  <si>
    <t>地上二层</t>
    <phoneticPr fontId="144" type="noConversion"/>
  </si>
  <si>
    <t>地下商业</t>
    <phoneticPr fontId="144" type="noConversion"/>
  </si>
  <si>
    <t>设备用房</t>
    <phoneticPr fontId="144" type="noConversion"/>
  </si>
  <si>
    <t>一体化</t>
    <phoneticPr fontId="144" type="noConversion"/>
  </si>
  <si>
    <t>地下1层</t>
    <phoneticPr fontId="144" type="noConversion"/>
  </si>
  <si>
    <t>地下二层</t>
    <phoneticPr fontId="144" type="noConversion"/>
  </si>
  <si>
    <t>季度增幅（自定义）</t>
  </si>
  <si>
    <t>未包含在土地购买价格中</t>
  </si>
  <si>
    <t>全部缴纳</t>
  </si>
  <si>
    <t>已包含在土地取得成本中</t>
  </si>
  <si>
    <t>成本法</t>
  </si>
  <si>
    <t>假设开发法</t>
  </si>
  <si>
    <t>已出租办公</t>
    <phoneticPr fontId="4" type="noConversion"/>
  </si>
  <si>
    <t>未出租办公</t>
    <phoneticPr fontId="4" type="noConversion"/>
  </si>
  <si>
    <t>已出租商业</t>
    <phoneticPr fontId="4" type="noConversion"/>
  </si>
  <si>
    <t>未出租商业</t>
    <phoneticPr fontId="4" type="noConversion"/>
  </si>
  <si>
    <t>20幢3层</t>
    <phoneticPr fontId="144" type="noConversion"/>
  </si>
  <si>
    <r>
      <t>24</t>
    </r>
    <r>
      <rPr>
        <sz val="10"/>
        <color indexed="8"/>
        <rFont val="宋体"/>
        <family val="3"/>
        <charset val="134"/>
      </rPr>
      <t>幢</t>
    </r>
    <r>
      <rPr>
        <sz val="10"/>
        <color indexed="8"/>
        <rFont val="Arial"/>
        <family val="2"/>
      </rPr>
      <t>3</t>
    </r>
    <r>
      <rPr>
        <sz val="10"/>
        <color indexed="8"/>
        <rFont val="宋体"/>
        <family val="3"/>
        <charset val="134"/>
      </rPr>
      <t>层</t>
    </r>
    <phoneticPr fontId="144" type="noConversion"/>
  </si>
  <si>
    <t>面积</t>
    <phoneticPr fontId="144" type="noConversion"/>
  </si>
  <si>
    <t>在建</t>
    <phoneticPr fontId="144" type="noConversion"/>
  </si>
  <si>
    <t>22幢</t>
    <phoneticPr fontId="144" type="noConversion"/>
  </si>
  <si>
    <t>合计</t>
    <phoneticPr fontId="144" type="noConversion"/>
  </si>
  <si>
    <t>住宅底商</t>
    <phoneticPr fontId="32" type="noConversion"/>
  </si>
  <si>
    <t>写字楼配套商业</t>
    <phoneticPr fontId="32" type="noConversion"/>
  </si>
  <si>
    <t>写字楼配套商业</t>
    <phoneticPr fontId="144" type="noConversion"/>
  </si>
  <si>
    <r>
      <rPr>
        <sz val="12"/>
        <color theme="9" tint="-0.249977111117893"/>
        <rFont val="宋体"/>
        <family val="3"/>
        <charset val="134"/>
      </rPr>
      <t>朝阳区东三环中路</t>
    </r>
    <r>
      <rPr>
        <sz val="12"/>
        <color theme="9" tint="-0.249977111117893"/>
        <rFont val="Arial"/>
        <family val="2"/>
      </rPr>
      <t>20</t>
    </r>
    <r>
      <rPr>
        <sz val="12"/>
        <color theme="9" tint="-0.249977111117893"/>
        <rFont val="宋体"/>
        <family val="3"/>
        <charset val="134"/>
      </rPr>
      <t>、</t>
    </r>
    <r>
      <rPr>
        <sz val="12"/>
        <color theme="9" tint="-0.249977111117893"/>
        <rFont val="Arial"/>
        <family val="2"/>
      </rPr>
      <t>24</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幢商业用房房地产</t>
    </r>
    <phoneticPr fontId="7" type="noConversion"/>
  </si>
  <si>
    <t>企业</t>
  </si>
  <si>
    <t>北京达义北方置业有限公司</t>
    <phoneticPr fontId="7" type="noConversion"/>
  </si>
  <si>
    <t>北京达义北方置业有限公司</t>
    <phoneticPr fontId="7" type="noConversion"/>
  </si>
  <si>
    <t>三层商业</t>
    <phoneticPr fontId="144" type="noConversion"/>
  </si>
  <si>
    <t>商业、办公、地下车库</t>
    <phoneticPr fontId="7" type="noConversion"/>
  </si>
  <si>
    <r>
      <rPr>
        <sz val="12"/>
        <color theme="9" tint="-0.249977111117893"/>
        <rFont val="宋体"/>
        <family val="3"/>
        <charset val="134"/>
      </rPr>
      <t>商业</t>
    </r>
    <r>
      <rPr>
        <sz val="12"/>
        <color theme="9" tint="-0.249977111117893"/>
        <rFont val="Arial"/>
        <family val="2"/>
      </rPr>
      <t>25.8</t>
    </r>
    <r>
      <rPr>
        <sz val="12"/>
        <color theme="9" tint="-0.249977111117893"/>
        <rFont val="宋体"/>
        <family val="3"/>
        <charset val="134"/>
      </rPr>
      <t>年、办公及地下车库</t>
    </r>
    <r>
      <rPr>
        <sz val="12"/>
        <color theme="9" tint="-0.249977111117893"/>
        <rFont val="Arial"/>
        <family val="2"/>
      </rPr>
      <t>35.8</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</si>
  <si>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619403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</si>
  <si>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通热</t>
  </si>
  <si>
    <t>燃气</t>
  </si>
  <si>
    <t>建筑物价值</t>
    <phoneticPr fontId="144" type="noConversion"/>
  </si>
  <si>
    <t>土地价值</t>
    <phoneticPr fontId="144" type="noConversion"/>
  </si>
  <si>
    <t>建筑面积</t>
    <phoneticPr fontId="144" type="noConversion"/>
  </si>
  <si>
    <t>现房</t>
    <phoneticPr fontId="144" type="noConversion"/>
  </si>
  <si>
    <r>
      <rPr>
        <sz val="9"/>
        <color indexed="72"/>
        <rFont val="宋体"/>
        <family val="3"/>
        <charset val="134"/>
      </rPr>
      <t>楼盘名称</t>
    </r>
  </si>
  <si>
    <r>
      <rPr>
        <sz val="9"/>
        <color indexed="72"/>
        <rFont val="宋体"/>
        <family val="3"/>
        <charset val="134"/>
      </rPr>
      <t>楼阁名称</t>
    </r>
  </si>
  <si>
    <r>
      <rPr>
        <sz val="9"/>
        <color indexed="72"/>
        <rFont val="宋体"/>
        <family val="3"/>
        <charset val="134"/>
      </rPr>
      <t>楼层名称</t>
    </r>
  </si>
  <si>
    <r>
      <rPr>
        <sz val="9"/>
        <color indexed="72"/>
        <rFont val="宋体"/>
        <family val="3"/>
        <charset val="134"/>
      </rPr>
      <t>单元名称</t>
    </r>
  </si>
  <si>
    <r>
      <rPr>
        <sz val="9"/>
        <color indexed="72"/>
        <rFont val="宋体"/>
        <family val="3"/>
        <charset val="134"/>
      </rPr>
      <t>租户名称</t>
    </r>
  </si>
  <si>
    <r>
      <rPr>
        <sz val="9"/>
        <color indexed="72"/>
        <rFont val="宋体"/>
        <family val="3"/>
        <charset val="134"/>
      </rPr>
      <t>合同期限</t>
    </r>
  </si>
  <si>
    <r>
      <rPr>
        <sz val="9"/>
        <rFont val="宋体"/>
        <family val="3"/>
        <charset val="134"/>
      </rPr>
      <t>乐成中心</t>
    </r>
  </si>
  <si>
    <r>
      <t>A</t>
    </r>
    <r>
      <rPr>
        <sz val="9"/>
        <rFont val="宋体"/>
        <family val="3"/>
        <charset val="134"/>
      </rPr>
      <t>座</t>
    </r>
  </si>
  <si>
    <r>
      <rPr>
        <sz val="9"/>
        <rFont val="宋体"/>
        <family val="3"/>
        <charset val="134"/>
      </rPr>
      <t>沃尔玛（北京）商业零售有限公司</t>
    </r>
  </si>
  <si>
    <r>
      <rPr>
        <sz val="9"/>
        <rFont val="宋体"/>
        <family val="3"/>
        <charset val="134"/>
      </rPr>
      <t>月付</t>
    </r>
    <phoneticPr fontId="257" type="noConversion"/>
  </si>
  <si>
    <r>
      <rPr>
        <sz val="9"/>
        <rFont val="宋体"/>
        <family val="3"/>
        <charset val="134"/>
      </rPr>
      <t>天津优驰信息技术有限公司</t>
    </r>
  </si>
  <si>
    <r>
      <rPr>
        <sz val="9"/>
        <rFont val="宋体"/>
        <family val="3"/>
        <charset val="134"/>
      </rPr>
      <t>元源普慧信息服务（北京）有限公司</t>
    </r>
    <phoneticPr fontId="4" type="noConversion"/>
  </si>
  <si>
    <r>
      <rPr>
        <sz val="9"/>
        <rFont val="宋体"/>
        <family val="3"/>
        <charset val="134"/>
      </rPr>
      <t>北京品友互动信息技术股份公司</t>
    </r>
    <phoneticPr fontId="257" type="noConversion"/>
  </si>
  <si>
    <r>
      <rPr>
        <sz val="9"/>
        <rFont val="宋体"/>
        <family val="3"/>
        <charset val="134"/>
      </rPr>
      <t>北京品友互动信息技术股份公司</t>
    </r>
  </si>
  <si>
    <r>
      <rPr>
        <sz val="9"/>
        <rFont val="宋体"/>
        <family val="3"/>
        <charset val="134"/>
      </rPr>
      <t>北京华清新能互联投资有限公司</t>
    </r>
  </si>
  <si>
    <r>
      <rPr>
        <sz val="9"/>
        <rFont val="宋体"/>
        <family val="3"/>
        <charset val="134"/>
      </rPr>
      <t>吴征宇</t>
    </r>
  </si>
  <si>
    <r>
      <rPr>
        <sz val="9"/>
        <rFont val="宋体"/>
        <family val="3"/>
        <charset val="134"/>
      </rPr>
      <t>月付</t>
    </r>
    <phoneticPr fontId="257" type="noConversion"/>
  </si>
  <si>
    <r>
      <rPr>
        <sz val="9"/>
        <rFont val="宋体"/>
        <family val="3"/>
        <charset val="134"/>
      </rPr>
      <t>北京利合投资控股有限责任公司</t>
    </r>
  </si>
  <si>
    <r>
      <rPr>
        <sz val="9"/>
        <rFont val="宋体"/>
        <family val="3"/>
        <charset val="134"/>
      </rPr>
      <t>北京新景祥网络科技有限公司</t>
    </r>
  </si>
  <si>
    <r>
      <rPr>
        <sz val="9"/>
        <rFont val="宋体"/>
        <family val="3"/>
        <charset val="134"/>
      </rPr>
      <t>中英人寿保险有限公司</t>
    </r>
  </si>
  <si>
    <r>
      <rPr>
        <sz val="9"/>
        <rFont val="宋体"/>
        <family val="3"/>
        <charset val="134"/>
      </rPr>
      <t>中美联泰大都会人寿保险有限公司北京分公司</t>
    </r>
    <phoneticPr fontId="4" type="noConversion"/>
  </si>
  <si>
    <r>
      <rPr>
        <sz val="9"/>
        <rFont val="宋体"/>
        <family val="3"/>
        <charset val="134"/>
      </rPr>
      <t>北京中金瑞信投资基金管理有限公司</t>
    </r>
    <phoneticPr fontId="4" type="noConversion"/>
  </si>
  <si>
    <r>
      <t>A</t>
    </r>
    <r>
      <rPr>
        <sz val="9"/>
        <rFont val="宋体"/>
        <family val="3"/>
        <charset val="134"/>
      </rPr>
      <t>座</t>
    </r>
    <phoneticPr fontId="257" type="noConversion"/>
  </si>
  <si>
    <r>
      <rPr>
        <sz val="9"/>
        <rFont val="宋体"/>
        <family val="3"/>
        <charset val="134"/>
      </rPr>
      <t>北京盛盈保泰投资担保有限公司</t>
    </r>
    <phoneticPr fontId="257" type="noConversion"/>
  </si>
  <si>
    <r>
      <rPr>
        <sz val="9"/>
        <rFont val="宋体"/>
        <family val="3"/>
        <charset val="134"/>
      </rPr>
      <t>冠诚（北京）信息服务有限公司</t>
    </r>
  </si>
  <si>
    <r>
      <rPr>
        <sz val="9"/>
        <rFont val="宋体"/>
        <family val="3"/>
        <charset val="134"/>
      </rPr>
      <t>东方泓运（北京）资产管理有限公司</t>
    </r>
  </si>
  <si>
    <r>
      <rPr>
        <sz val="9"/>
        <rFont val="宋体"/>
        <family val="3"/>
        <charset val="134"/>
      </rPr>
      <t>远盟康健科技有限公司</t>
    </r>
  </si>
  <si>
    <r>
      <t>B</t>
    </r>
    <r>
      <rPr>
        <sz val="9"/>
        <rFont val="宋体"/>
        <family val="3"/>
        <charset val="134"/>
      </rPr>
      <t>座</t>
    </r>
  </si>
  <si>
    <r>
      <rPr>
        <sz val="9"/>
        <rFont val="宋体"/>
        <family val="3"/>
        <charset val="134"/>
      </rPr>
      <t>鑫盛富通金融服务外包（北京）有限公司</t>
    </r>
  </si>
  <si>
    <r>
      <rPr>
        <sz val="9"/>
        <rFont val="宋体"/>
        <family val="3"/>
        <charset val="134"/>
      </rPr>
      <t>北京融汇中投资产管理有限公司</t>
    </r>
    <phoneticPr fontId="4" type="noConversion"/>
  </si>
  <si>
    <r>
      <rPr>
        <sz val="9"/>
        <rFont val="宋体"/>
        <family val="3"/>
        <charset val="134"/>
      </rPr>
      <t>季付</t>
    </r>
    <phoneticPr fontId="257" type="noConversion"/>
  </si>
  <si>
    <r>
      <rPr>
        <sz val="9"/>
        <rFont val="宋体"/>
        <family val="3"/>
        <charset val="134"/>
      </rPr>
      <t>宝龄国际健康管理（北京）有限公司</t>
    </r>
  </si>
  <si>
    <r>
      <rPr>
        <sz val="9"/>
        <rFont val="宋体"/>
        <family val="3"/>
        <charset val="134"/>
      </rPr>
      <t>北京明德睿信投资管理有限公司</t>
    </r>
    <phoneticPr fontId="257" type="noConversion"/>
  </si>
  <si>
    <r>
      <rPr>
        <sz val="9"/>
        <rFont val="宋体"/>
        <family val="3"/>
        <charset val="134"/>
      </rPr>
      <t>安朗杰安防技术（中国）有限公司</t>
    </r>
  </si>
  <si>
    <r>
      <rPr>
        <sz val="9"/>
        <rFont val="宋体"/>
        <family val="3"/>
        <charset val="134"/>
      </rPr>
      <t>北京海润财通资产管理有限公司</t>
    </r>
  </si>
  <si>
    <r>
      <rPr>
        <sz val="9"/>
        <rFont val="宋体"/>
        <family val="3"/>
        <charset val="134"/>
      </rPr>
      <t>合星卓越财富管理有限公司</t>
    </r>
  </si>
  <si>
    <r>
      <rPr>
        <sz val="9"/>
        <rFont val="宋体"/>
        <family val="3"/>
        <charset val="134"/>
      </rPr>
      <t>上海象印家用电器有限公司</t>
    </r>
    <phoneticPr fontId="4" type="noConversion"/>
  </si>
  <si>
    <r>
      <rPr>
        <sz val="9"/>
        <rFont val="宋体"/>
        <family val="3"/>
        <charset val="134"/>
      </rPr>
      <t>北京赛硕科技有限公司</t>
    </r>
    <phoneticPr fontId="4" type="noConversion"/>
  </si>
  <si>
    <r>
      <rPr>
        <sz val="9"/>
        <rFont val="宋体"/>
        <family val="3"/>
        <charset val="134"/>
      </rPr>
      <t>万达财富（北京）信用评估有限公司</t>
    </r>
    <phoneticPr fontId="4" type="noConversion"/>
  </si>
  <si>
    <r>
      <rPr>
        <sz val="9"/>
        <rFont val="宋体"/>
        <family val="3"/>
        <charset val="134"/>
      </rPr>
      <t>中亿行投资担保（北京）有限公司</t>
    </r>
  </si>
  <si>
    <r>
      <rPr>
        <sz val="9"/>
        <rFont val="宋体"/>
        <family val="3"/>
        <charset val="134"/>
      </rPr>
      <t>康美林弗泰克（北京）医疗器械有限公司</t>
    </r>
    <phoneticPr fontId="4" type="noConversion"/>
  </si>
  <si>
    <r>
      <rPr>
        <sz val="9"/>
        <rFont val="宋体"/>
        <family val="3"/>
        <charset val="134"/>
      </rPr>
      <t>开弦资本管理有限公司</t>
    </r>
  </si>
  <si>
    <r>
      <rPr>
        <sz val="9"/>
        <rFont val="宋体"/>
        <family val="3"/>
        <charset val="134"/>
      </rPr>
      <t>湖北金融租赁股份有限公司</t>
    </r>
  </si>
  <si>
    <r>
      <rPr>
        <sz val="9"/>
        <rFont val="宋体"/>
        <family val="3"/>
        <charset val="134"/>
      </rPr>
      <t>中国欧美进出口有限公司</t>
    </r>
  </si>
  <si>
    <r>
      <rPr>
        <sz val="9"/>
        <rFont val="宋体"/>
        <family val="3"/>
        <charset val="134"/>
      </rPr>
      <t>华创证券有限责任公司北京东三环中路证券营业部</t>
    </r>
  </si>
  <si>
    <r>
      <rPr>
        <sz val="9"/>
        <rFont val="宋体"/>
        <family val="3"/>
        <charset val="134"/>
      </rPr>
      <t>九三粮油工业集团有限公司</t>
    </r>
    <phoneticPr fontId="4" type="noConversion"/>
  </si>
  <si>
    <r>
      <rPr>
        <sz val="9"/>
        <rFont val="宋体"/>
        <family val="3"/>
        <charset val="134"/>
      </rPr>
      <t>中美联泰大都会人寿保险有限公司北京分公司</t>
    </r>
  </si>
  <si>
    <r>
      <rPr>
        <sz val="9"/>
        <rFont val="宋体"/>
        <family val="3"/>
        <charset val="134"/>
      </rPr>
      <t>东海岸国际投资（北京）有限公司</t>
    </r>
  </si>
  <si>
    <r>
      <rPr>
        <sz val="9"/>
        <rFont val="宋体"/>
        <family val="3"/>
        <charset val="134"/>
      </rPr>
      <t>北京宝瑞通寄卖行有限责任公司</t>
    </r>
  </si>
  <si>
    <r>
      <rPr>
        <sz val="9"/>
        <rFont val="宋体"/>
        <family val="3"/>
        <charset val="134"/>
      </rPr>
      <t>中意财产保险有限公司</t>
    </r>
  </si>
  <si>
    <r>
      <rPr>
        <sz val="9"/>
        <rFont val="宋体"/>
        <family val="3"/>
        <charset val="134"/>
      </rPr>
      <t>中企鸿盛（北京）投资基金管理有限公司</t>
    </r>
    <phoneticPr fontId="4" type="noConversion"/>
  </si>
  <si>
    <r>
      <rPr>
        <sz val="9"/>
        <rFont val="宋体"/>
        <family val="3"/>
        <charset val="134"/>
      </rPr>
      <t>北京骏德国际投资管理有限公司</t>
    </r>
  </si>
  <si>
    <r>
      <rPr>
        <sz val="9"/>
        <rFont val="宋体"/>
        <family val="3"/>
        <charset val="134"/>
      </rPr>
      <t>北京诺融信科信息技术有限公司</t>
    </r>
  </si>
  <si>
    <r>
      <rPr>
        <sz val="9"/>
        <rFont val="宋体"/>
        <family val="3"/>
        <charset val="134"/>
      </rPr>
      <t>北京钧越网秀体育发展有限责任公司</t>
    </r>
  </si>
  <si>
    <r>
      <rPr>
        <sz val="9"/>
        <rFont val="宋体"/>
        <family val="3"/>
        <charset val="134"/>
      </rPr>
      <t>北京韦弦菁英体育推广有限公司</t>
    </r>
    <phoneticPr fontId="257" type="noConversion"/>
  </si>
  <si>
    <r>
      <rPr>
        <sz val="9"/>
        <rFont val="宋体"/>
        <family val="3"/>
        <charset val="134"/>
      </rPr>
      <t>北京新每经文化传播有限公司</t>
    </r>
  </si>
  <si>
    <r>
      <rPr>
        <sz val="9"/>
        <rFont val="宋体"/>
        <family val="3"/>
        <charset val="134"/>
      </rPr>
      <t>山西亨泰尔互联网科技有限公司</t>
    </r>
    <phoneticPr fontId="257" type="noConversion"/>
  </si>
  <si>
    <r>
      <rPr>
        <sz val="9"/>
        <rFont val="宋体"/>
        <family val="3"/>
        <charset val="134"/>
      </rPr>
      <t>北京兴安富邦矿业有限公司</t>
    </r>
  </si>
  <si>
    <r>
      <rPr>
        <sz val="9"/>
        <rFont val="宋体"/>
        <family val="3"/>
        <charset val="134"/>
      </rPr>
      <t>北京华云合创科技有限公司</t>
    </r>
  </si>
  <si>
    <r>
      <rPr>
        <sz val="9"/>
        <rFont val="宋体"/>
        <family val="3"/>
        <charset val="134"/>
      </rPr>
      <t>北京金源康科技有限公司</t>
    </r>
    <phoneticPr fontId="257" type="noConversion"/>
  </si>
  <si>
    <r>
      <rPr>
        <sz val="9"/>
        <rFont val="宋体"/>
        <family val="3"/>
        <charset val="134"/>
      </rPr>
      <t>北京华高垵铂投资顾问有限公司</t>
    </r>
  </si>
  <si>
    <r>
      <rPr>
        <sz val="9"/>
        <rFont val="宋体"/>
        <family val="3"/>
        <charset val="134"/>
      </rPr>
      <t>第</t>
    </r>
    <r>
      <rPr>
        <sz val="9"/>
        <rFont val="Arial"/>
        <family val="2"/>
      </rPr>
      <t>06</t>
    </r>
    <r>
      <rPr>
        <sz val="9"/>
        <rFont val="宋体"/>
        <family val="3"/>
        <charset val="134"/>
      </rPr>
      <t>层</t>
    </r>
  </si>
  <si>
    <r>
      <t>2015-01-01</t>
    </r>
    <r>
      <rPr>
        <sz val="9"/>
        <rFont val="宋体"/>
        <family val="3"/>
        <charset val="134"/>
      </rPr>
      <t>至</t>
    </r>
    <r>
      <rPr>
        <sz val="9"/>
        <rFont val="Arial"/>
        <family val="2"/>
      </rPr>
      <t>2019-03-31</t>
    </r>
  </si>
  <si>
    <r>
      <rPr>
        <sz val="9"/>
        <rFont val="宋体"/>
        <family val="3"/>
        <charset val="134"/>
      </rPr>
      <t>第</t>
    </r>
    <r>
      <rPr>
        <sz val="9"/>
        <rFont val="Arial"/>
        <family val="2"/>
      </rPr>
      <t>07</t>
    </r>
    <r>
      <rPr>
        <sz val="9"/>
        <rFont val="宋体"/>
        <family val="3"/>
        <charset val="134"/>
      </rPr>
      <t>层</t>
    </r>
  </si>
  <si>
    <r>
      <rPr>
        <sz val="9"/>
        <rFont val="宋体"/>
        <family val="3"/>
        <charset val="134"/>
      </rPr>
      <t>第</t>
    </r>
    <r>
      <rPr>
        <sz val="9"/>
        <rFont val="Arial"/>
        <family val="2"/>
      </rPr>
      <t>08</t>
    </r>
    <r>
      <rPr>
        <sz val="9"/>
        <rFont val="宋体"/>
        <family val="3"/>
        <charset val="134"/>
      </rPr>
      <t>层</t>
    </r>
  </si>
  <si>
    <r>
      <t>2016-02-01</t>
    </r>
    <r>
      <rPr>
        <sz val="9"/>
        <rFont val="宋体"/>
        <family val="3"/>
        <charset val="134"/>
      </rPr>
      <t>至</t>
    </r>
    <r>
      <rPr>
        <sz val="9"/>
        <rFont val="Arial"/>
        <family val="2"/>
      </rPr>
      <t>2019-05-31</t>
    </r>
    <phoneticPr fontId="257" type="noConversion"/>
  </si>
  <si>
    <r>
      <t>2017-06-16</t>
    </r>
    <r>
      <rPr>
        <sz val="9"/>
        <rFont val="宋体"/>
        <family val="3"/>
        <charset val="134"/>
      </rPr>
      <t>至</t>
    </r>
    <r>
      <rPr>
        <sz val="9"/>
        <rFont val="Arial"/>
        <family val="2"/>
      </rPr>
      <t>2020-08-15</t>
    </r>
    <phoneticPr fontId="257" type="noConversion"/>
  </si>
  <si>
    <r>
      <rPr>
        <sz val="9"/>
        <rFont val="宋体"/>
        <family val="3"/>
        <charset val="134"/>
      </rPr>
      <t>第</t>
    </r>
    <r>
      <rPr>
        <sz val="9"/>
        <rFont val="Arial"/>
        <family val="2"/>
      </rPr>
      <t>09</t>
    </r>
    <r>
      <rPr>
        <sz val="9"/>
        <rFont val="宋体"/>
        <family val="3"/>
        <charset val="134"/>
      </rPr>
      <t>层</t>
    </r>
  </si>
  <si>
    <r>
      <t>A0901</t>
    </r>
    <r>
      <rPr>
        <sz val="9"/>
        <rFont val="宋体"/>
        <family val="3"/>
        <charset val="134"/>
      </rPr>
      <t>、</t>
    </r>
    <r>
      <rPr>
        <sz val="9"/>
        <rFont val="Arial"/>
        <family val="2"/>
      </rPr>
      <t>05-09</t>
    </r>
    <phoneticPr fontId="257" type="noConversion"/>
  </si>
  <si>
    <r>
      <t>2016-03-10</t>
    </r>
    <r>
      <rPr>
        <sz val="9"/>
        <rFont val="宋体"/>
        <family val="3"/>
        <charset val="134"/>
      </rPr>
      <t>至</t>
    </r>
    <r>
      <rPr>
        <sz val="9"/>
        <rFont val="Arial"/>
        <family val="2"/>
      </rPr>
      <t>2019-05-31</t>
    </r>
    <phoneticPr fontId="257" type="noConversion"/>
  </si>
  <si>
    <r>
      <rPr>
        <sz val="9"/>
        <rFont val="宋体"/>
        <family val="3"/>
        <charset val="134"/>
      </rPr>
      <t>第</t>
    </r>
    <r>
      <rPr>
        <sz val="9"/>
        <rFont val="Arial"/>
        <family val="2"/>
      </rPr>
      <t>11</t>
    </r>
    <r>
      <rPr>
        <sz val="9"/>
        <rFont val="宋体"/>
        <family val="3"/>
        <charset val="134"/>
      </rPr>
      <t>层</t>
    </r>
  </si>
  <si>
    <r>
      <t>2016-06-13</t>
    </r>
    <r>
      <rPr>
        <sz val="9"/>
        <rFont val="宋体"/>
        <family val="3"/>
        <charset val="134"/>
      </rPr>
      <t>至</t>
    </r>
    <r>
      <rPr>
        <sz val="9"/>
        <rFont val="Arial"/>
        <family val="2"/>
      </rPr>
      <t>2019-07-31</t>
    </r>
    <phoneticPr fontId="257" type="noConversion"/>
  </si>
  <si>
    <r>
      <t>2017-04-01</t>
    </r>
    <r>
      <rPr>
        <sz val="9"/>
        <rFont val="宋体"/>
        <family val="3"/>
        <charset val="134"/>
      </rPr>
      <t>至</t>
    </r>
    <r>
      <rPr>
        <sz val="9"/>
        <rFont val="Arial"/>
        <family val="2"/>
      </rPr>
      <t>2020-3-31</t>
    </r>
    <phoneticPr fontId="257" type="noConversion"/>
  </si>
  <si>
    <r>
      <t>2017-03-21</t>
    </r>
    <r>
      <rPr>
        <sz val="9"/>
        <rFont val="宋体"/>
        <family val="3"/>
        <charset val="134"/>
      </rPr>
      <t>至</t>
    </r>
    <r>
      <rPr>
        <sz val="9"/>
        <rFont val="Arial"/>
        <family val="2"/>
      </rPr>
      <t>2020-03-20</t>
    </r>
    <phoneticPr fontId="257" type="noConversion"/>
  </si>
  <si>
    <r>
      <rPr>
        <sz val="9"/>
        <rFont val="宋体"/>
        <family val="3"/>
        <charset val="134"/>
      </rPr>
      <t>第</t>
    </r>
    <r>
      <rPr>
        <sz val="9"/>
        <rFont val="Arial"/>
        <family val="2"/>
      </rPr>
      <t>12</t>
    </r>
    <r>
      <rPr>
        <sz val="9"/>
        <rFont val="宋体"/>
        <family val="3"/>
        <charset val="134"/>
      </rPr>
      <t>层</t>
    </r>
  </si>
  <si>
    <r>
      <t>2016-05-01</t>
    </r>
    <r>
      <rPr>
        <sz val="9"/>
        <rFont val="宋体"/>
        <family val="3"/>
        <charset val="134"/>
      </rPr>
      <t>至</t>
    </r>
    <r>
      <rPr>
        <sz val="9"/>
        <rFont val="Arial"/>
        <family val="2"/>
      </rPr>
      <t>2019-04-30</t>
    </r>
    <phoneticPr fontId="257" type="noConversion"/>
  </si>
  <si>
    <r>
      <rPr>
        <sz val="9"/>
        <rFont val="宋体"/>
        <family val="3"/>
        <charset val="134"/>
      </rPr>
      <t>第</t>
    </r>
    <r>
      <rPr>
        <sz val="9"/>
        <rFont val="Arial"/>
        <family val="2"/>
      </rPr>
      <t>15</t>
    </r>
    <r>
      <rPr>
        <sz val="9"/>
        <rFont val="宋体"/>
        <family val="3"/>
        <charset val="134"/>
      </rPr>
      <t>层</t>
    </r>
  </si>
  <si>
    <r>
      <t>2016-01-01</t>
    </r>
    <r>
      <rPr>
        <sz val="9"/>
        <rFont val="宋体"/>
        <family val="3"/>
        <charset val="134"/>
      </rPr>
      <t>至</t>
    </r>
    <r>
      <rPr>
        <sz val="9"/>
        <rFont val="Arial"/>
        <family val="2"/>
      </rPr>
      <t>2019-04-30</t>
    </r>
    <phoneticPr fontId="257" type="noConversion"/>
  </si>
  <si>
    <r>
      <rPr>
        <sz val="9"/>
        <rFont val="宋体"/>
        <family val="3"/>
        <charset val="134"/>
      </rPr>
      <t>第</t>
    </r>
    <r>
      <rPr>
        <sz val="9"/>
        <rFont val="Arial"/>
        <family val="2"/>
      </rPr>
      <t>16</t>
    </r>
    <r>
      <rPr>
        <sz val="9"/>
        <rFont val="宋体"/>
        <family val="3"/>
        <charset val="134"/>
      </rPr>
      <t>层</t>
    </r>
  </si>
  <si>
    <r>
      <t>2017-03-01</t>
    </r>
    <r>
      <rPr>
        <sz val="9"/>
        <rFont val="宋体"/>
        <family val="3"/>
        <charset val="134"/>
      </rPr>
      <t>至</t>
    </r>
    <r>
      <rPr>
        <sz val="9"/>
        <rFont val="Arial"/>
        <family val="2"/>
      </rPr>
      <t>2020-03-31</t>
    </r>
    <phoneticPr fontId="257" type="noConversion"/>
  </si>
  <si>
    <r>
      <rPr>
        <sz val="9"/>
        <rFont val="宋体"/>
        <family val="3"/>
        <charset val="134"/>
      </rPr>
      <t>第</t>
    </r>
    <r>
      <rPr>
        <sz val="9"/>
        <rFont val="Arial"/>
        <family val="2"/>
      </rPr>
      <t>20</t>
    </r>
    <r>
      <rPr>
        <sz val="9"/>
        <rFont val="宋体"/>
        <family val="3"/>
        <charset val="134"/>
      </rPr>
      <t>层</t>
    </r>
  </si>
  <si>
    <r>
      <t>A2001-03</t>
    </r>
    <r>
      <rPr>
        <sz val="9"/>
        <rFont val="宋体"/>
        <family val="3"/>
        <charset val="134"/>
      </rPr>
      <t>、</t>
    </r>
    <r>
      <rPr>
        <sz val="9"/>
        <rFont val="Arial"/>
        <family val="2"/>
      </rPr>
      <t>09</t>
    </r>
  </si>
  <si>
    <r>
      <t>2017-02-20</t>
    </r>
    <r>
      <rPr>
        <sz val="9"/>
        <rFont val="宋体"/>
        <family val="3"/>
        <charset val="134"/>
      </rPr>
      <t>至</t>
    </r>
    <r>
      <rPr>
        <sz val="9"/>
        <rFont val="Arial"/>
        <family val="2"/>
      </rPr>
      <t>2020-04-19</t>
    </r>
    <phoneticPr fontId="257" type="noConversion"/>
  </si>
  <si>
    <r>
      <rPr>
        <sz val="9"/>
        <rFont val="宋体"/>
        <family val="3"/>
        <charset val="134"/>
      </rPr>
      <t>第</t>
    </r>
    <r>
      <rPr>
        <sz val="9"/>
        <rFont val="Arial"/>
        <family val="2"/>
      </rPr>
      <t>21</t>
    </r>
    <r>
      <rPr>
        <sz val="9"/>
        <rFont val="宋体"/>
        <family val="3"/>
        <charset val="134"/>
      </rPr>
      <t>层</t>
    </r>
  </si>
  <si>
    <r>
      <t>2016-12-01</t>
    </r>
    <r>
      <rPr>
        <sz val="9"/>
        <rFont val="宋体"/>
        <family val="3"/>
        <charset val="134"/>
      </rPr>
      <t>至</t>
    </r>
    <r>
      <rPr>
        <sz val="9"/>
        <rFont val="Arial"/>
        <family val="2"/>
      </rPr>
      <t>2019-12-31</t>
    </r>
    <phoneticPr fontId="257" type="noConversion"/>
  </si>
  <si>
    <r>
      <rPr>
        <sz val="9"/>
        <rFont val="宋体"/>
        <family val="3"/>
        <charset val="134"/>
      </rPr>
      <t>第</t>
    </r>
    <r>
      <rPr>
        <sz val="9"/>
        <rFont val="Arial"/>
        <family val="2"/>
      </rPr>
      <t>21</t>
    </r>
    <r>
      <rPr>
        <sz val="9"/>
        <rFont val="宋体"/>
        <family val="3"/>
        <charset val="134"/>
      </rPr>
      <t>层</t>
    </r>
    <phoneticPr fontId="257" type="noConversion"/>
  </si>
  <si>
    <r>
      <t>2016-11-1</t>
    </r>
    <r>
      <rPr>
        <sz val="9"/>
        <rFont val="宋体"/>
        <family val="3"/>
        <charset val="134"/>
      </rPr>
      <t>至</t>
    </r>
    <r>
      <rPr>
        <sz val="9"/>
        <rFont val="Arial"/>
        <family val="2"/>
      </rPr>
      <t>2019-12-31</t>
    </r>
    <phoneticPr fontId="257" type="noConversion"/>
  </si>
  <si>
    <r>
      <rPr>
        <sz val="9"/>
        <rFont val="宋体"/>
        <family val="3"/>
        <charset val="134"/>
      </rPr>
      <t>第</t>
    </r>
    <r>
      <rPr>
        <sz val="9"/>
        <rFont val="Arial"/>
        <family val="2"/>
      </rPr>
      <t>25</t>
    </r>
    <r>
      <rPr>
        <sz val="9"/>
        <rFont val="宋体"/>
        <family val="3"/>
        <charset val="134"/>
      </rPr>
      <t>层</t>
    </r>
  </si>
  <si>
    <r>
      <t>2017-06-01</t>
    </r>
    <r>
      <rPr>
        <sz val="9"/>
        <rFont val="宋体"/>
        <family val="3"/>
        <charset val="134"/>
      </rPr>
      <t>至</t>
    </r>
    <r>
      <rPr>
        <sz val="9"/>
        <rFont val="Arial"/>
        <family val="2"/>
      </rPr>
      <t>2020-05-31</t>
    </r>
    <phoneticPr fontId="257" type="noConversion"/>
  </si>
  <si>
    <r>
      <rPr>
        <sz val="9"/>
        <rFont val="宋体"/>
        <family val="3"/>
        <charset val="134"/>
      </rPr>
      <t>第</t>
    </r>
    <r>
      <rPr>
        <sz val="9"/>
        <rFont val="Arial"/>
        <family val="2"/>
      </rPr>
      <t>26</t>
    </r>
    <r>
      <rPr>
        <sz val="9"/>
        <rFont val="宋体"/>
        <family val="3"/>
        <charset val="134"/>
      </rPr>
      <t>层</t>
    </r>
  </si>
  <si>
    <r>
      <t>2016-10-01</t>
    </r>
    <r>
      <rPr>
        <sz val="9"/>
        <rFont val="宋体"/>
        <family val="3"/>
        <charset val="134"/>
      </rPr>
      <t>至</t>
    </r>
    <r>
      <rPr>
        <sz val="9"/>
        <rFont val="Arial"/>
        <family val="2"/>
      </rPr>
      <t>2019-09-30</t>
    </r>
    <phoneticPr fontId="257" type="noConversion"/>
  </si>
  <si>
    <r>
      <rPr>
        <sz val="9"/>
        <rFont val="宋体"/>
        <family val="3"/>
        <charset val="134"/>
      </rPr>
      <t>第</t>
    </r>
    <r>
      <rPr>
        <sz val="9"/>
        <rFont val="Arial"/>
        <family val="2"/>
      </rPr>
      <t>29</t>
    </r>
    <r>
      <rPr>
        <sz val="9"/>
        <rFont val="宋体"/>
        <family val="3"/>
        <charset val="134"/>
      </rPr>
      <t>层</t>
    </r>
  </si>
  <si>
    <r>
      <t>2016-11-16</t>
    </r>
    <r>
      <rPr>
        <sz val="9"/>
        <rFont val="宋体"/>
        <family val="3"/>
        <charset val="134"/>
      </rPr>
      <t>至</t>
    </r>
    <r>
      <rPr>
        <sz val="9"/>
        <rFont val="Arial"/>
        <family val="2"/>
      </rPr>
      <t>2020-03-31</t>
    </r>
    <phoneticPr fontId="257" type="noConversion"/>
  </si>
  <si>
    <r>
      <rPr>
        <sz val="9"/>
        <rFont val="宋体"/>
        <family val="3"/>
        <charset val="134"/>
      </rPr>
      <t>第</t>
    </r>
    <r>
      <rPr>
        <sz val="9"/>
        <rFont val="Arial"/>
        <family val="2"/>
      </rPr>
      <t>05</t>
    </r>
    <r>
      <rPr>
        <sz val="9"/>
        <rFont val="宋体"/>
        <family val="3"/>
        <charset val="134"/>
      </rPr>
      <t>层</t>
    </r>
  </si>
  <si>
    <r>
      <t>2017-06-12</t>
    </r>
    <r>
      <rPr>
        <sz val="9"/>
        <rFont val="宋体"/>
        <family val="3"/>
        <charset val="134"/>
      </rPr>
      <t>至</t>
    </r>
    <r>
      <rPr>
        <sz val="9"/>
        <rFont val="Arial"/>
        <family val="2"/>
      </rPr>
      <t>2020-07-11</t>
    </r>
    <phoneticPr fontId="257" type="noConversion"/>
  </si>
  <si>
    <r>
      <t>2017-07-10</t>
    </r>
    <r>
      <rPr>
        <sz val="9"/>
        <rFont val="宋体"/>
        <family val="3"/>
        <charset val="134"/>
      </rPr>
      <t>至</t>
    </r>
    <r>
      <rPr>
        <sz val="9"/>
        <rFont val="Arial"/>
        <family val="2"/>
      </rPr>
      <t>2020-08-24</t>
    </r>
    <phoneticPr fontId="257" type="noConversion"/>
  </si>
  <si>
    <r>
      <t>2</t>
    </r>
    <r>
      <rPr>
        <sz val="9"/>
        <rFont val="宋体"/>
        <family val="3"/>
        <charset val="134"/>
      </rPr>
      <t>月</t>
    </r>
    <r>
      <rPr>
        <sz val="9"/>
        <rFont val="Arial"/>
        <family val="2"/>
      </rPr>
      <t>1</t>
    </r>
    <r>
      <rPr>
        <sz val="9"/>
        <rFont val="宋体"/>
        <family val="3"/>
        <charset val="134"/>
      </rPr>
      <t>付</t>
    </r>
    <phoneticPr fontId="257" type="noConversion"/>
  </si>
  <si>
    <r>
      <t>2014-01-01</t>
    </r>
    <r>
      <rPr>
        <sz val="9"/>
        <rFont val="宋体"/>
        <family val="3"/>
        <charset val="134"/>
      </rPr>
      <t>至</t>
    </r>
    <r>
      <rPr>
        <sz val="9"/>
        <rFont val="Arial"/>
        <family val="2"/>
      </rPr>
      <t>2019-12-31</t>
    </r>
    <phoneticPr fontId="257" type="noConversion"/>
  </si>
  <si>
    <r>
      <t>2017-02-15</t>
    </r>
    <r>
      <rPr>
        <sz val="9"/>
        <rFont val="宋体"/>
        <family val="3"/>
        <charset val="134"/>
      </rPr>
      <t>至</t>
    </r>
    <r>
      <rPr>
        <sz val="9"/>
        <rFont val="Arial"/>
        <family val="2"/>
      </rPr>
      <t>2020-04-14</t>
    </r>
    <phoneticPr fontId="257" type="noConversion"/>
  </si>
  <si>
    <r>
      <t>2017-08-01</t>
    </r>
    <r>
      <rPr>
        <sz val="9"/>
        <rFont val="宋体"/>
        <family val="3"/>
        <charset val="134"/>
      </rPr>
      <t>至</t>
    </r>
    <r>
      <rPr>
        <sz val="9"/>
        <rFont val="Arial"/>
        <family val="2"/>
      </rPr>
      <t>2020-07-31</t>
    </r>
    <phoneticPr fontId="257" type="noConversion"/>
  </si>
  <si>
    <r>
      <t>2016-06-01</t>
    </r>
    <r>
      <rPr>
        <sz val="9"/>
        <rFont val="宋体"/>
        <family val="3"/>
        <charset val="134"/>
      </rPr>
      <t>至</t>
    </r>
    <r>
      <rPr>
        <sz val="9"/>
        <rFont val="Arial"/>
        <family val="2"/>
      </rPr>
      <t>2019-06-30</t>
    </r>
    <phoneticPr fontId="257" type="noConversion"/>
  </si>
  <si>
    <r>
      <t>2016-08-03</t>
    </r>
    <r>
      <rPr>
        <sz val="9"/>
        <rFont val="宋体"/>
        <family val="3"/>
        <charset val="134"/>
      </rPr>
      <t>至</t>
    </r>
    <r>
      <rPr>
        <sz val="9"/>
        <rFont val="Arial"/>
        <family val="2"/>
      </rPr>
      <t>2019-09-02</t>
    </r>
    <phoneticPr fontId="257" type="noConversion"/>
  </si>
  <si>
    <r>
      <t>2016-05-01</t>
    </r>
    <r>
      <rPr>
        <sz val="9"/>
        <rFont val="宋体"/>
        <family val="3"/>
        <charset val="134"/>
      </rPr>
      <t>至</t>
    </r>
    <r>
      <rPr>
        <sz val="9"/>
        <rFont val="Arial"/>
        <family val="2"/>
      </rPr>
      <t>2019-06-30</t>
    </r>
    <phoneticPr fontId="257" type="noConversion"/>
  </si>
  <si>
    <r>
      <t>2017-08-07</t>
    </r>
    <r>
      <rPr>
        <sz val="9"/>
        <rFont val="宋体"/>
        <family val="3"/>
        <charset val="134"/>
      </rPr>
      <t>至</t>
    </r>
    <r>
      <rPr>
        <sz val="9"/>
        <rFont val="Arial"/>
        <family val="2"/>
      </rPr>
      <t>2020-09-06</t>
    </r>
    <phoneticPr fontId="257" type="noConversion"/>
  </si>
  <si>
    <r>
      <t>2017-05-20</t>
    </r>
    <r>
      <rPr>
        <sz val="9"/>
        <rFont val="宋体"/>
        <family val="3"/>
        <charset val="134"/>
      </rPr>
      <t>至</t>
    </r>
    <r>
      <rPr>
        <sz val="9"/>
        <rFont val="Arial"/>
        <family val="2"/>
      </rPr>
      <t>2019-05-19</t>
    </r>
    <phoneticPr fontId="257" type="noConversion"/>
  </si>
  <si>
    <r>
      <t>2016-04-01</t>
    </r>
    <r>
      <rPr>
        <sz val="9"/>
        <rFont val="宋体"/>
        <family val="3"/>
        <charset val="134"/>
      </rPr>
      <t>至</t>
    </r>
    <r>
      <rPr>
        <sz val="9"/>
        <rFont val="Arial"/>
        <family val="2"/>
      </rPr>
      <t>2019-06-30</t>
    </r>
    <phoneticPr fontId="257" type="noConversion"/>
  </si>
  <si>
    <r>
      <rPr>
        <sz val="9"/>
        <rFont val="宋体"/>
        <family val="3"/>
        <charset val="134"/>
      </rPr>
      <t>第</t>
    </r>
    <r>
      <rPr>
        <sz val="9"/>
        <rFont val="Arial"/>
        <family val="2"/>
      </rPr>
      <t>10</t>
    </r>
    <r>
      <rPr>
        <sz val="9"/>
        <rFont val="宋体"/>
        <family val="3"/>
        <charset val="134"/>
      </rPr>
      <t>层</t>
    </r>
  </si>
  <si>
    <r>
      <t>2017-08-01</t>
    </r>
    <r>
      <rPr>
        <sz val="9"/>
        <rFont val="宋体"/>
        <family val="3"/>
        <charset val="134"/>
      </rPr>
      <t>至</t>
    </r>
    <r>
      <rPr>
        <sz val="9"/>
        <rFont val="Arial"/>
        <family val="2"/>
      </rPr>
      <t>2020-09-10</t>
    </r>
    <phoneticPr fontId="257" type="noConversion"/>
  </si>
  <si>
    <r>
      <t>2016-07-01</t>
    </r>
    <r>
      <rPr>
        <sz val="9"/>
        <rFont val="宋体"/>
        <family val="3"/>
        <charset val="134"/>
      </rPr>
      <t>至</t>
    </r>
    <r>
      <rPr>
        <sz val="9"/>
        <rFont val="Arial"/>
        <family val="2"/>
      </rPr>
      <t>2019-09-30</t>
    </r>
    <phoneticPr fontId="257" type="noConversion"/>
  </si>
  <si>
    <r>
      <t>2016-08-10</t>
    </r>
    <r>
      <rPr>
        <sz val="9"/>
        <rFont val="宋体"/>
        <family val="3"/>
        <charset val="134"/>
      </rPr>
      <t>至</t>
    </r>
    <r>
      <rPr>
        <sz val="9"/>
        <rFont val="Arial"/>
        <family val="2"/>
      </rPr>
      <t>2019-08-31</t>
    </r>
    <phoneticPr fontId="257" type="noConversion"/>
  </si>
  <si>
    <r>
      <t>2017-06-01</t>
    </r>
    <r>
      <rPr>
        <sz val="9"/>
        <rFont val="宋体"/>
        <family val="3"/>
        <charset val="134"/>
      </rPr>
      <t>至</t>
    </r>
    <r>
      <rPr>
        <sz val="9"/>
        <rFont val="Arial"/>
        <family val="2"/>
      </rPr>
      <t>2020-06-30</t>
    </r>
    <phoneticPr fontId="257" type="noConversion"/>
  </si>
  <si>
    <r>
      <t>2016-04-01</t>
    </r>
    <r>
      <rPr>
        <sz val="9"/>
        <rFont val="宋体"/>
        <family val="3"/>
        <charset val="134"/>
      </rPr>
      <t>至</t>
    </r>
    <r>
      <rPr>
        <sz val="9"/>
        <rFont val="Arial"/>
        <family val="2"/>
      </rPr>
      <t>2019-05-31</t>
    </r>
    <phoneticPr fontId="257" type="noConversion"/>
  </si>
  <si>
    <r>
      <t>2016-06-20</t>
    </r>
    <r>
      <rPr>
        <sz val="9"/>
        <rFont val="宋体"/>
        <family val="3"/>
        <charset val="134"/>
      </rPr>
      <t>至</t>
    </r>
    <r>
      <rPr>
        <sz val="9"/>
        <rFont val="Arial"/>
        <family val="2"/>
      </rPr>
      <t>2019-06-30</t>
    </r>
    <phoneticPr fontId="257" type="noConversion"/>
  </si>
  <si>
    <r>
      <t>2016-03-01</t>
    </r>
    <r>
      <rPr>
        <sz val="9"/>
        <rFont val="宋体"/>
        <family val="3"/>
        <charset val="134"/>
      </rPr>
      <t>至</t>
    </r>
    <r>
      <rPr>
        <sz val="9"/>
        <rFont val="Arial"/>
        <family val="2"/>
      </rPr>
      <t>2019-06-30</t>
    </r>
    <phoneticPr fontId="257" type="noConversion"/>
  </si>
  <si>
    <r>
      <t>2016-11-15</t>
    </r>
    <r>
      <rPr>
        <sz val="9"/>
        <rFont val="宋体"/>
        <family val="3"/>
        <charset val="134"/>
      </rPr>
      <t>至</t>
    </r>
    <r>
      <rPr>
        <sz val="9"/>
        <rFont val="Arial"/>
        <family val="2"/>
      </rPr>
      <t>2019-11-14</t>
    </r>
    <phoneticPr fontId="257" type="noConversion"/>
  </si>
  <si>
    <r>
      <t>2016-12-01</t>
    </r>
    <r>
      <rPr>
        <sz val="9"/>
        <rFont val="宋体"/>
        <family val="3"/>
        <charset val="134"/>
      </rPr>
      <t>至</t>
    </r>
    <r>
      <rPr>
        <sz val="9"/>
        <rFont val="Arial"/>
        <family val="2"/>
      </rPr>
      <t>2020-02-15</t>
    </r>
    <phoneticPr fontId="257" type="noConversion"/>
  </si>
  <si>
    <r>
      <t>2016-08-01</t>
    </r>
    <r>
      <rPr>
        <sz val="9"/>
        <rFont val="宋体"/>
        <family val="3"/>
        <charset val="134"/>
      </rPr>
      <t>至</t>
    </r>
    <r>
      <rPr>
        <sz val="9"/>
        <rFont val="Arial"/>
        <family val="2"/>
      </rPr>
      <t>2020-03-31</t>
    </r>
    <phoneticPr fontId="257" type="noConversion"/>
  </si>
  <si>
    <r>
      <t>2016-09-12</t>
    </r>
    <r>
      <rPr>
        <sz val="9"/>
        <rFont val="宋体"/>
        <family val="3"/>
        <charset val="134"/>
      </rPr>
      <t>至</t>
    </r>
    <r>
      <rPr>
        <sz val="9"/>
        <rFont val="Arial"/>
        <family val="2"/>
      </rPr>
      <t>2019-10-11</t>
    </r>
    <phoneticPr fontId="257" type="noConversion"/>
  </si>
  <si>
    <r>
      <rPr>
        <sz val="9"/>
        <rFont val="宋体"/>
        <family val="3"/>
        <charset val="134"/>
      </rPr>
      <t>第</t>
    </r>
    <r>
      <rPr>
        <sz val="9"/>
        <rFont val="Arial"/>
        <family val="2"/>
      </rPr>
      <t>17</t>
    </r>
    <r>
      <rPr>
        <sz val="9"/>
        <rFont val="宋体"/>
        <family val="3"/>
        <charset val="134"/>
      </rPr>
      <t>层</t>
    </r>
  </si>
  <si>
    <r>
      <t>2016-04-20</t>
    </r>
    <r>
      <rPr>
        <sz val="9"/>
        <rFont val="宋体"/>
        <family val="3"/>
        <charset val="134"/>
      </rPr>
      <t>至</t>
    </r>
    <r>
      <rPr>
        <sz val="9"/>
        <rFont val="Arial"/>
        <family val="2"/>
      </rPr>
      <t>2019-06-19</t>
    </r>
    <phoneticPr fontId="257" type="noConversion"/>
  </si>
  <si>
    <r>
      <rPr>
        <sz val="9"/>
        <rFont val="宋体"/>
        <family val="3"/>
        <charset val="134"/>
      </rPr>
      <t>第</t>
    </r>
    <r>
      <rPr>
        <sz val="9"/>
        <rFont val="Arial"/>
        <family val="2"/>
      </rPr>
      <t>19</t>
    </r>
    <r>
      <rPr>
        <sz val="9"/>
        <rFont val="宋体"/>
        <family val="3"/>
        <charset val="134"/>
      </rPr>
      <t>层</t>
    </r>
  </si>
  <si>
    <r>
      <t>2016-12-08</t>
    </r>
    <r>
      <rPr>
        <sz val="9"/>
        <rFont val="宋体"/>
        <family val="3"/>
        <charset val="134"/>
      </rPr>
      <t>至</t>
    </r>
    <r>
      <rPr>
        <sz val="9"/>
        <rFont val="Arial"/>
        <family val="2"/>
      </rPr>
      <t>2019-01-07</t>
    </r>
    <phoneticPr fontId="257" type="noConversion"/>
  </si>
  <si>
    <r>
      <rPr>
        <sz val="9"/>
        <rFont val="宋体"/>
        <family val="3"/>
        <charset val="134"/>
      </rPr>
      <t>第</t>
    </r>
    <r>
      <rPr>
        <sz val="9"/>
        <rFont val="Arial"/>
        <family val="2"/>
      </rPr>
      <t>22</t>
    </r>
    <r>
      <rPr>
        <sz val="9"/>
        <rFont val="宋体"/>
        <family val="3"/>
        <charset val="134"/>
      </rPr>
      <t>层</t>
    </r>
  </si>
  <si>
    <r>
      <t>B2201</t>
    </r>
    <r>
      <rPr>
        <sz val="9"/>
        <rFont val="宋体"/>
        <family val="3"/>
        <charset val="134"/>
      </rPr>
      <t>、</t>
    </r>
    <r>
      <rPr>
        <sz val="9"/>
        <rFont val="Arial"/>
        <family val="2"/>
      </rPr>
      <t>06-09</t>
    </r>
  </si>
  <si>
    <r>
      <t>2017-06-01</t>
    </r>
    <r>
      <rPr>
        <sz val="9"/>
        <rFont val="宋体"/>
        <family val="3"/>
        <charset val="134"/>
      </rPr>
      <t>至</t>
    </r>
    <r>
      <rPr>
        <sz val="9"/>
        <rFont val="Arial"/>
        <family val="2"/>
      </rPr>
      <t>2020-08-14</t>
    </r>
    <phoneticPr fontId="257" type="noConversion"/>
  </si>
  <si>
    <r>
      <t>2017-06-15</t>
    </r>
    <r>
      <rPr>
        <sz val="9"/>
        <rFont val="宋体"/>
        <family val="3"/>
        <charset val="134"/>
      </rPr>
      <t>至</t>
    </r>
    <r>
      <rPr>
        <sz val="9"/>
        <rFont val="Arial"/>
        <family val="2"/>
      </rPr>
      <t>2020-08-14</t>
    </r>
    <phoneticPr fontId="257" type="noConversion"/>
  </si>
  <si>
    <r>
      <rPr>
        <sz val="9"/>
        <rFont val="宋体"/>
        <family val="3"/>
        <charset val="134"/>
      </rPr>
      <t>第</t>
    </r>
    <r>
      <rPr>
        <sz val="9"/>
        <rFont val="Arial"/>
        <family val="2"/>
      </rPr>
      <t>23</t>
    </r>
    <r>
      <rPr>
        <sz val="9"/>
        <rFont val="宋体"/>
        <family val="3"/>
        <charset val="134"/>
      </rPr>
      <t>层</t>
    </r>
  </si>
  <si>
    <r>
      <t>2016-09-01</t>
    </r>
    <r>
      <rPr>
        <sz val="9"/>
        <rFont val="宋体"/>
        <family val="3"/>
        <charset val="134"/>
      </rPr>
      <t>至</t>
    </r>
    <r>
      <rPr>
        <sz val="9"/>
        <rFont val="Arial"/>
        <family val="2"/>
      </rPr>
      <t>2019-11-15</t>
    </r>
    <phoneticPr fontId="257" type="noConversion"/>
  </si>
  <si>
    <r>
      <t>2016-11-16</t>
    </r>
    <r>
      <rPr>
        <sz val="9"/>
        <rFont val="宋体"/>
        <family val="3"/>
        <charset val="134"/>
      </rPr>
      <t>至</t>
    </r>
    <r>
      <rPr>
        <sz val="9"/>
        <rFont val="Arial"/>
        <family val="2"/>
      </rPr>
      <t>2020-01-31</t>
    </r>
    <phoneticPr fontId="257" type="noConversion"/>
  </si>
  <si>
    <r>
      <t>2017-09-01</t>
    </r>
    <r>
      <rPr>
        <sz val="9"/>
        <rFont val="宋体"/>
        <family val="3"/>
        <charset val="134"/>
      </rPr>
      <t>至</t>
    </r>
    <r>
      <rPr>
        <sz val="9"/>
        <rFont val="Arial"/>
        <family val="2"/>
      </rPr>
      <t>2020-10-31</t>
    </r>
    <phoneticPr fontId="257" type="noConversion"/>
  </si>
  <si>
    <r>
      <t>2017-05-01</t>
    </r>
    <r>
      <rPr>
        <sz val="9"/>
        <rFont val="宋体"/>
        <family val="3"/>
        <charset val="134"/>
      </rPr>
      <t>至</t>
    </r>
    <r>
      <rPr>
        <sz val="9"/>
        <rFont val="Arial"/>
        <family val="2"/>
      </rPr>
      <t>2020-07-31</t>
    </r>
    <phoneticPr fontId="257" type="noConversion"/>
  </si>
  <si>
    <r>
      <t>2016-09-01</t>
    </r>
    <r>
      <rPr>
        <sz val="9"/>
        <rFont val="宋体"/>
        <family val="3"/>
        <charset val="134"/>
      </rPr>
      <t>至</t>
    </r>
    <r>
      <rPr>
        <sz val="9"/>
        <rFont val="Arial"/>
        <family val="2"/>
      </rPr>
      <t>2019-09-30</t>
    </r>
    <phoneticPr fontId="257" type="noConversion"/>
  </si>
  <si>
    <r>
      <t>B2901</t>
    </r>
    <r>
      <rPr>
        <sz val="9"/>
        <rFont val="宋体"/>
        <family val="3"/>
        <charset val="134"/>
      </rPr>
      <t>、</t>
    </r>
    <r>
      <rPr>
        <sz val="9"/>
        <rFont val="Arial"/>
        <family val="2"/>
      </rPr>
      <t>2903</t>
    </r>
  </si>
  <si>
    <r>
      <t>2017-06-20</t>
    </r>
    <r>
      <rPr>
        <sz val="9"/>
        <rFont val="宋体"/>
        <family val="3"/>
        <charset val="134"/>
      </rPr>
      <t>至</t>
    </r>
    <r>
      <rPr>
        <sz val="9"/>
        <rFont val="Arial"/>
        <family val="2"/>
      </rPr>
      <t>2020-08-03</t>
    </r>
    <phoneticPr fontId="257" type="noConversion"/>
  </si>
  <si>
    <r>
      <rPr>
        <sz val="9"/>
        <rFont val="宋体"/>
        <family val="3"/>
        <charset val="134"/>
      </rPr>
      <t>第</t>
    </r>
    <r>
      <rPr>
        <sz val="9"/>
        <rFont val="Arial"/>
        <family val="2"/>
      </rPr>
      <t>30</t>
    </r>
    <r>
      <rPr>
        <sz val="9"/>
        <rFont val="宋体"/>
        <family val="3"/>
        <charset val="134"/>
      </rPr>
      <t>层</t>
    </r>
  </si>
  <si>
    <r>
      <t>2016-07-01</t>
    </r>
    <r>
      <rPr>
        <sz val="9"/>
        <rFont val="宋体"/>
        <family val="3"/>
        <charset val="134"/>
      </rPr>
      <t>至</t>
    </r>
    <r>
      <rPr>
        <sz val="9"/>
        <rFont val="Arial"/>
        <family val="2"/>
      </rPr>
      <t>2019-09-15</t>
    </r>
    <phoneticPr fontId="257" type="noConversion"/>
  </si>
  <si>
    <r>
      <rPr>
        <sz val="9"/>
        <color indexed="72"/>
        <rFont val="宋体"/>
        <family val="3"/>
        <charset val="134"/>
      </rPr>
      <t>计费面积</t>
    </r>
    <phoneticPr fontId="4" type="noConversion"/>
  </si>
  <si>
    <r>
      <rPr>
        <sz val="9"/>
        <color indexed="72"/>
        <rFont val="宋体"/>
        <family val="3"/>
        <charset val="134"/>
      </rPr>
      <t>签约单价</t>
    </r>
    <phoneticPr fontId="4" type="noConversion"/>
  </si>
  <si>
    <r>
      <rPr>
        <sz val="9"/>
        <rFont val="宋体"/>
        <family val="3"/>
        <charset val="134"/>
      </rPr>
      <t>支付方式</t>
    </r>
    <phoneticPr fontId="257" type="noConversion"/>
  </si>
  <si>
    <r>
      <rPr>
        <sz val="9"/>
        <color theme="1"/>
        <rFont val="宋体"/>
        <family val="3"/>
        <charset val="134"/>
      </rPr>
      <t>单位租金</t>
    </r>
    <phoneticPr fontId="144" type="noConversion"/>
  </si>
  <si>
    <r>
      <rPr>
        <sz val="9"/>
        <color theme="1"/>
        <rFont val="宋体"/>
        <family val="3"/>
        <charset val="134"/>
      </rPr>
      <t>年总租金</t>
    </r>
    <phoneticPr fontId="144" type="noConversion"/>
  </si>
  <si>
    <r>
      <t>A0701-05</t>
    </r>
    <r>
      <rPr>
        <sz val="9"/>
        <rFont val="宋体"/>
        <family val="3"/>
        <charset val="134"/>
      </rPr>
      <t>、</t>
    </r>
    <r>
      <rPr>
        <sz val="9"/>
        <rFont val="Arial"/>
        <family val="2"/>
      </rPr>
      <t>09</t>
    </r>
    <phoneticPr fontId="257" type="noConversion"/>
  </si>
  <si>
    <r>
      <rPr>
        <sz val="9"/>
        <rFont val="宋体"/>
        <family val="3"/>
        <charset val="134"/>
      </rPr>
      <t>众惠财产相互保险社（筹）</t>
    </r>
    <phoneticPr fontId="257" type="noConversion"/>
  </si>
  <si>
    <r>
      <t>2016-06-01</t>
    </r>
    <r>
      <rPr>
        <sz val="9"/>
        <rFont val="宋体"/>
        <family val="3"/>
        <charset val="134"/>
      </rPr>
      <t>至</t>
    </r>
    <r>
      <rPr>
        <sz val="9"/>
        <rFont val="Arial"/>
        <family val="2"/>
      </rPr>
      <t>2019-08-15</t>
    </r>
    <phoneticPr fontId="257" type="noConversion"/>
  </si>
  <si>
    <r>
      <rPr>
        <sz val="9"/>
        <color theme="1"/>
        <rFont val="宋体"/>
        <family val="3"/>
        <charset val="134"/>
      </rPr>
      <t>北京亿信华鑫科技股份有限公司</t>
    </r>
    <phoneticPr fontId="257" type="noConversion"/>
  </si>
  <si>
    <r>
      <rPr>
        <sz val="9"/>
        <color theme="1"/>
        <rFont val="宋体"/>
        <family val="3"/>
        <charset val="134"/>
      </rPr>
      <t>乾晟（杭州）资产管理有限公司</t>
    </r>
    <phoneticPr fontId="257" type="noConversion"/>
  </si>
  <si>
    <r>
      <rPr>
        <sz val="9"/>
        <color theme="1"/>
        <rFont val="宋体"/>
        <family val="3"/>
        <charset val="134"/>
      </rPr>
      <t>北京鸿坤天诚投资有限公司</t>
    </r>
    <phoneticPr fontId="257" type="noConversion"/>
  </si>
  <si>
    <t>L313</t>
    <phoneticPr fontId="257" type="noConversion"/>
  </si>
  <si>
    <t>北京梦幻空间咘噜教育科技有限公司</t>
    <phoneticPr fontId="257" type="noConversion"/>
  </si>
  <si>
    <t>比较汇总</t>
    <phoneticPr fontId="144" type="noConversion"/>
  </si>
  <si>
    <t>收益汇总</t>
    <phoneticPr fontId="144" type="noConversion"/>
  </si>
  <si>
    <t>总价</t>
    <phoneticPr fontId="144" type="noConversion"/>
  </si>
  <si>
    <t>单价</t>
    <phoneticPr fontId="144" type="noConversion"/>
  </si>
  <si>
    <t>面积</t>
    <phoneticPr fontId="144" type="noConversion"/>
  </si>
  <si>
    <t>办公</t>
    <phoneticPr fontId="144" type="noConversion"/>
  </si>
  <si>
    <t>商业</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</si>
</sst>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9"/>
      <color indexed="72"/>
      <name val="宋体"/>
      <family val="3"/>
      <charset val="134"/>
    </font>
    <font>
      <sz val="9"/>
      <color theme="1"/>
      <name val="宋体"/>
      <family val="2"/>
      <charset val="134"/>
      <scheme val="minor"/>
    </font>
    <font>
      <sz val="10"/>
      <name val="宋体"/>
      <family val="3"/>
      <charset val="134"/>
      <scheme val="minor"/>
    </font>
    <font>
      <sz val="9"/>
      <color theme="1"/>
      <name val="宋体"/>
      <family val="3"/>
      <charset val="134"/>
      <scheme val="minor"/>
    </font>
    <font>
      <sz val="11"/>
      <color indexed="8"/>
      <name val="仿宋_GB2312"/>
      <family val="3"/>
      <charset val="134"/>
    </font>
    <font>
      <sz val="11"/>
      <name val="仿宋_GB2312"/>
      <family val="3"/>
      <charset val="134"/>
    </font>
    <font>
      <sz val="9"/>
      <color indexed="72"/>
      <name val="Arial"/>
      <family val="2"/>
    </font>
    <font>
      <sz val="9"/>
      <name val="Arial"/>
      <family val="2"/>
    </font>
    <font>
      <sz val="9"/>
      <color theme="1"/>
      <name val="Arial"/>
      <family val="2"/>
    </font>
    <font>
      <sz val="9"/>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indexed="9"/>
        <bgColor indexed="0"/>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176" fontId="256" fillId="0" borderId="0" applyFont="0" applyFill="0" applyBorder="0" applyAlignment="0" applyProtection="0">
      <alignment vertical="center"/>
    </xf>
    <xf numFmtId="0" fontId="4" fillId="0" borderId="0">
      <alignment vertical="center"/>
    </xf>
  </cellStyleXfs>
  <cellXfs count="34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5"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7"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7"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178" fontId="81" fillId="0" borderId="1" xfId="1" applyNumberFormat="1" applyFont="1" applyFill="1" applyBorder="1" applyAlignment="1" applyProtection="1">
      <alignment vertical="center"/>
      <protection locked="0" hidden="1"/>
    </xf>
    <xf numFmtId="10" fontId="0" fillId="0" borderId="0" xfId="0" applyNumberFormat="1">
      <alignment vertical="center"/>
    </xf>
    <xf numFmtId="0" fontId="20" fillId="0" borderId="0" xfId="0" applyFont="1" applyAlignment="1">
      <alignment horizontal="center" vertical="center"/>
    </xf>
    <xf numFmtId="0" fontId="85" fillId="16" borderId="1" xfId="0" applyFont="1" applyFill="1" applyBorder="1" applyAlignment="1">
      <alignment horizontal="center" vertical="center"/>
    </xf>
    <xf numFmtId="0" fontId="85" fillId="0" borderId="0" xfId="0" applyFont="1" applyAlignment="1">
      <alignment horizontal="center" vertical="center"/>
    </xf>
    <xf numFmtId="0" fontId="85" fillId="0" borderId="1" xfId="0" applyFont="1" applyBorder="1" applyAlignment="1">
      <alignment horizontal="left" vertical="center"/>
    </xf>
    <xf numFmtId="176" fontId="85" fillId="0" borderId="1" xfId="13" applyFont="1" applyBorder="1" applyAlignment="1">
      <alignment horizontal="center" vertical="center"/>
    </xf>
    <xf numFmtId="176" fontId="20" fillId="0" borderId="1" xfId="13" applyFont="1" applyBorder="1" applyAlignment="1">
      <alignment horizontal="center" vertical="center"/>
    </xf>
    <xf numFmtId="43" fontId="20" fillId="0" borderId="0" xfId="0" applyNumberFormat="1" applyFont="1" applyAlignment="1">
      <alignment horizontal="center" vertical="center"/>
    </xf>
    <xf numFmtId="0" fontId="20" fillId="0" borderId="1" xfId="0" applyFont="1" applyBorder="1" applyAlignment="1">
      <alignment horizontal="left" vertical="center"/>
    </xf>
    <xf numFmtId="180" fontId="20" fillId="0" borderId="0" xfId="0" applyNumberFormat="1" applyFont="1" applyAlignment="1">
      <alignment horizontal="center" vertical="center"/>
    </xf>
    <xf numFmtId="9" fontId="20" fillId="0" borderId="1" xfId="0" applyNumberFormat="1" applyFont="1" applyBorder="1" applyAlignment="1">
      <alignment horizontal="center" vertical="center"/>
    </xf>
    <xf numFmtId="178" fontId="85" fillId="0" borderId="1" xfId="0" applyNumberFormat="1" applyFont="1" applyBorder="1" applyAlignment="1">
      <alignment horizontal="center" vertical="center"/>
    </xf>
    <xf numFmtId="0" fontId="20" fillId="0" borderId="0" xfId="0" applyFont="1" applyAlignment="1">
      <alignment horizontal="left" vertical="center"/>
    </xf>
    <xf numFmtId="9" fontId="0" fillId="0" borderId="0" xfId="0" applyNumberFormat="1">
      <alignment vertical="center"/>
    </xf>
    <xf numFmtId="0" fontId="0" fillId="0" borderId="1" xfId="0" applyBorder="1">
      <alignment vertical="center"/>
    </xf>
    <xf numFmtId="0" fontId="100" fillId="0" borderId="1" xfId="0" applyFont="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192" fillId="0" borderId="1" xfId="0" applyFont="1" applyBorder="1" applyAlignment="1" applyProtection="1">
      <alignment horizontal="left" vertical="center"/>
      <protection locked="0"/>
    </xf>
    <xf numFmtId="0" fontId="259" fillId="0" borderId="1" xfId="0" applyNumberFormat="1" applyFont="1" applyFill="1" applyBorder="1">
      <alignment vertical="center"/>
    </xf>
    <xf numFmtId="177" fontId="144" fillId="0" borderId="1" xfId="0" applyNumberFormat="1" applyFont="1" applyBorder="1" applyAlignment="1">
      <alignment horizontal="right" vertical="center"/>
    </xf>
    <xf numFmtId="176" fontId="260" fillId="0" borderId="1" xfId="13" applyFont="1" applyBorder="1" applyAlignment="1">
      <alignment horizontal="right" vertical="center"/>
    </xf>
    <xf numFmtId="0" fontId="4" fillId="0" borderId="1" xfId="14" applyFont="1" applyFill="1" applyBorder="1" applyAlignment="1">
      <alignment horizontal="center" vertical="center"/>
    </xf>
    <xf numFmtId="0" fontId="261" fillId="0" borderId="1" xfId="0" applyNumberFormat="1" applyFont="1" applyFill="1" applyBorder="1">
      <alignment vertical="center"/>
    </xf>
    <xf numFmtId="0" fontId="261" fillId="0" borderId="1" xfId="0" applyNumberFormat="1" applyFont="1" applyBorder="1">
      <alignment vertical="center"/>
    </xf>
    <xf numFmtId="176" fontId="114" fillId="0" borderId="1" xfId="13" applyFont="1" applyBorder="1" applyAlignment="1">
      <alignment horizontal="right" vertical="center"/>
    </xf>
    <xf numFmtId="43" fontId="114" fillId="0" borderId="1" xfId="13" applyNumberFormat="1" applyFont="1" applyBorder="1" applyAlignment="1">
      <alignment horizontal="right" vertical="center"/>
    </xf>
    <xf numFmtId="177" fontId="260" fillId="0" borderId="1" xfId="0" applyNumberFormat="1" applyFont="1" applyBorder="1" applyAlignment="1">
      <alignment horizontal="right" vertical="center"/>
    </xf>
    <xf numFmtId="0" fontId="100" fillId="0" borderId="0" xfId="0" applyFont="1">
      <alignment vertical="center"/>
    </xf>
    <xf numFmtId="0" fontId="4" fillId="0" borderId="0" xfId="14" applyFill="1" applyBorder="1">
      <alignment vertical="center"/>
    </xf>
    <xf numFmtId="14" fontId="0" fillId="0" borderId="0" xfId="0" applyNumberForma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259" fillId="0" borderId="0" xfId="0" applyNumberFormat="1" applyFont="1" applyFill="1" applyBorder="1">
      <alignment vertical="center"/>
    </xf>
    <xf numFmtId="176" fontId="0" fillId="0" borderId="0" xfId="0" applyNumberFormat="1">
      <alignment vertical="center"/>
    </xf>
    <xf numFmtId="177" fontId="0" fillId="0" borderId="0" xfId="0" applyNumberFormat="1">
      <alignment vertical="center"/>
    </xf>
    <xf numFmtId="178" fontId="138" fillId="0" borderId="1" xfId="1" applyNumberFormat="1" applyFont="1" applyFill="1" applyBorder="1" applyAlignment="1" applyProtection="1">
      <alignmen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0" fillId="9"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0" xfId="0" applyFill="1">
      <alignment vertical="center"/>
    </xf>
    <xf numFmtId="0" fontId="48" fillId="9" borderId="23" xfId="0" applyNumberFormat="1" applyFont="1" applyFill="1" applyBorder="1" applyAlignment="1" applyProtection="1">
      <alignment horizontal="center" vertical="center" wrapText="1"/>
      <protection locked="0"/>
    </xf>
    <xf numFmtId="9" fontId="48" fillId="9" borderId="3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259" fillId="5" borderId="1" xfId="0" applyNumberFormat="1" applyFont="1" applyFill="1" applyBorder="1">
      <alignment vertical="center"/>
    </xf>
    <xf numFmtId="0" fontId="261" fillId="5" borderId="1" xfId="0" applyNumberFormat="1" applyFont="1" applyFill="1" applyBorder="1">
      <alignment vertical="center"/>
    </xf>
    <xf numFmtId="177" fontId="144" fillId="5" borderId="1" xfId="0" applyNumberFormat="1" applyFont="1" applyFill="1" applyBorder="1" applyAlignment="1">
      <alignment horizontal="right" vertical="center"/>
    </xf>
    <xf numFmtId="176" fontId="114" fillId="5" borderId="1" xfId="13" applyFont="1" applyFill="1" applyBorder="1" applyAlignment="1">
      <alignment horizontal="right" vertical="center"/>
    </xf>
    <xf numFmtId="0" fontId="4" fillId="5" borderId="1" xfId="14" applyFont="1" applyFill="1" applyBorder="1" applyAlignment="1">
      <alignment horizontal="center" vertical="center"/>
    </xf>
    <xf numFmtId="0" fontId="0" fillId="5" borderId="0" xfId="0" applyFill="1">
      <alignment vertical="center"/>
    </xf>
    <xf numFmtId="0" fontId="100" fillId="5" borderId="0" xfId="0" applyFont="1" applyFill="1">
      <alignment vertical="center"/>
    </xf>
    <xf numFmtId="176" fontId="0" fillId="5" borderId="0" xfId="0" applyNumberFormat="1" applyFill="1">
      <alignment vertical="center"/>
    </xf>
    <xf numFmtId="14" fontId="100" fillId="0" borderId="0" xfId="0" applyNumberFormat="1" applyFont="1">
      <alignment vertical="center"/>
    </xf>
    <xf numFmtId="0" fontId="119" fillId="6" borderId="26" xfId="0" applyFont="1" applyFill="1" applyBorder="1" applyAlignment="1"/>
    <xf numFmtId="185" fontId="262" fillId="0" borderId="67" xfId="0" applyNumberFormat="1" applyFont="1" applyFill="1" applyBorder="1" applyAlignment="1" applyProtection="1">
      <alignment horizontal="center" vertical="center"/>
      <protection locked="0"/>
    </xf>
    <xf numFmtId="0" fontId="119" fillId="0" borderId="0" xfId="0" applyFont="1" applyAlignment="1"/>
    <xf numFmtId="181"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80"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8" fontId="262" fillId="5" borderId="25" xfId="1" applyNumberFormat="1" applyFont="1" applyFill="1" applyBorder="1" applyAlignment="1" applyProtection="1">
      <alignment horizontal="center" vertical="center"/>
      <protection locked="0"/>
    </xf>
    <xf numFmtId="185" fontId="262" fillId="0" borderId="32" xfId="0" applyNumberFormat="1" applyFont="1" applyFill="1" applyBorder="1" applyAlignment="1" applyProtection="1">
      <alignment horizontal="center" vertical="center"/>
      <protection locked="0"/>
    </xf>
    <xf numFmtId="180" fontId="263" fillId="6" borderId="32" xfId="1" applyNumberFormat="1" applyFont="1" applyFill="1" applyBorder="1" applyAlignment="1" applyProtection="1">
      <alignment horizontal="center" vertical="center"/>
    </xf>
    <xf numFmtId="181" fontId="263" fillId="6" borderId="32" xfId="1" applyNumberFormat="1" applyFont="1" applyFill="1" applyBorder="1" applyAlignment="1" applyProtection="1">
      <alignment horizontal="center" vertical="center"/>
    </xf>
    <xf numFmtId="182" fontId="119"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9" fillId="6" borderId="31" xfId="0" applyFont="1" applyFill="1" applyBorder="1" applyAlignment="1"/>
    <xf numFmtId="0" fontId="263" fillId="6" borderId="6" xfId="0" applyFont="1" applyFill="1" applyBorder="1" applyAlignment="1">
      <alignment horizontal="center"/>
    </xf>
    <xf numFmtId="0" fontId="119" fillId="0" borderId="9" xfId="0" applyFont="1" applyBorder="1" applyAlignment="1">
      <alignment horizontal="center"/>
    </xf>
    <xf numFmtId="0" fontId="263" fillId="6" borderId="9" xfId="0" applyFont="1" applyFill="1" applyBorder="1" applyAlignment="1">
      <alignment horizontal="center"/>
    </xf>
    <xf numFmtId="9" fontId="119"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9" fillId="0" borderId="32" xfId="0" applyFont="1" applyBorder="1" applyAlignment="1">
      <alignment horizontal="center"/>
    </xf>
    <xf numFmtId="0" fontId="263" fillId="6" borderId="32" xfId="0" applyFont="1" applyFill="1" applyBorder="1" applyAlignment="1">
      <alignment horizontal="center"/>
    </xf>
    <xf numFmtId="9" fontId="119" fillId="0" borderId="32" xfId="0" applyNumberFormat="1" applyFont="1" applyBorder="1" applyAlignment="1">
      <alignment horizontal="center"/>
    </xf>
    <xf numFmtId="0" fontId="263" fillId="6" borderId="49" xfId="0" applyFont="1" applyFill="1" applyBorder="1" applyAlignment="1"/>
    <xf numFmtId="0" fontId="119" fillId="0" borderId="9" xfId="0" applyFont="1" applyFill="1" applyBorder="1" applyAlignment="1">
      <alignment horizontal="center"/>
    </xf>
    <xf numFmtId="0" fontId="119" fillId="0" borderId="10" xfId="0" applyFont="1" applyFill="1" applyBorder="1" applyAlignment="1">
      <alignment horizontal="center"/>
    </xf>
    <xf numFmtId="0" fontId="119" fillId="6" borderId="32" xfId="0" applyFont="1" applyFill="1" applyBorder="1" applyAlignment="1">
      <alignment horizontal="center"/>
    </xf>
    <xf numFmtId="0" fontId="119" fillId="6" borderId="49" xfId="0" applyFont="1" applyFill="1" applyBorder="1" applyAlignment="1">
      <alignment horizontal="center"/>
    </xf>
    <xf numFmtId="0" fontId="138" fillId="0" borderId="83"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0" fillId="0" borderId="0" xfId="0" applyAlignment="1">
      <alignment vertical="center"/>
    </xf>
    <xf numFmtId="177" fontId="0" fillId="9" borderId="0" xfId="0" applyNumberFormat="1" applyFill="1">
      <alignment vertical="center"/>
    </xf>
    <xf numFmtId="0" fontId="139" fillId="0" borderId="1" xfId="0" applyFont="1" applyBorder="1" applyProtection="1">
      <alignment vertical="center"/>
      <protection locked="0"/>
    </xf>
    <xf numFmtId="0" fontId="100" fillId="0" borderId="58" xfId="0" applyFont="1" applyFill="1" applyBorder="1" applyAlignment="1">
      <alignment horizontal="center" vertical="center"/>
    </xf>
    <xf numFmtId="0" fontId="100" fillId="0" borderId="0" xfId="0" applyFont="1" applyFill="1" applyBorder="1">
      <alignment vertical="center"/>
    </xf>
    <xf numFmtId="0" fontId="100" fillId="0" borderId="0" xfId="0" applyFont="1" applyFill="1" applyBorder="1" applyAlignment="1">
      <alignment horizontal="center" vertical="center"/>
    </xf>
    <xf numFmtId="0" fontId="0" fillId="0" borderId="1" xfId="0" applyNumberFormat="1" applyBorder="1">
      <alignment vertical="center"/>
    </xf>
    <xf numFmtId="0" fontId="48" fillId="18" borderId="3" xfId="0" applyFont="1" applyFill="1" applyBorder="1" applyAlignment="1" applyProtection="1">
      <alignment vertical="center"/>
      <protection locked="0"/>
    </xf>
    <xf numFmtId="0" fontId="61" fillId="18" borderId="2" xfId="1" applyFont="1" applyFill="1" applyBorder="1" applyAlignment="1" applyProtection="1">
      <alignment vertical="center"/>
      <protection locked="0"/>
    </xf>
    <xf numFmtId="0" fontId="58" fillId="18" borderId="4" xfId="1" applyFont="1" applyFill="1" applyBorder="1" applyAlignment="1" applyProtection="1">
      <alignment vertical="center"/>
      <protection locked="0"/>
    </xf>
    <xf numFmtId="0" fontId="55" fillId="18" borderId="54" xfId="0" applyNumberFormat="1" applyFont="1" applyFill="1" applyBorder="1" applyAlignment="1" applyProtection="1">
      <alignment horizontal="center" vertical="center" wrapText="1"/>
      <protection locked="0"/>
    </xf>
    <xf numFmtId="0" fontId="55" fillId="18" borderId="6" xfId="0" applyFont="1" applyFill="1" applyBorder="1" applyAlignment="1" applyProtection="1">
      <alignment horizontal="center" vertical="center" wrapText="1"/>
      <protection locked="0"/>
    </xf>
    <xf numFmtId="0" fontId="55" fillId="18" borderId="5" xfId="0" applyNumberFormat="1" applyFont="1" applyFill="1" applyBorder="1" applyAlignment="1" applyProtection="1">
      <alignment horizontal="center" vertical="center" wrapText="1"/>
    </xf>
    <xf numFmtId="0" fontId="55" fillId="18" borderId="24" xfId="0" applyNumberFormat="1" applyFont="1" applyFill="1" applyBorder="1" applyAlignment="1" applyProtection="1">
      <alignment horizontal="center" vertical="center" wrapText="1"/>
    </xf>
    <xf numFmtId="0" fontId="55" fillId="18" borderId="10" xfId="0" applyNumberFormat="1" applyFont="1" applyFill="1" applyBorder="1" applyAlignment="1" applyProtection="1">
      <alignment horizontal="center" vertical="center" wrapText="1"/>
    </xf>
    <xf numFmtId="0" fontId="55" fillId="18" borderId="78" xfId="0" applyNumberFormat="1" applyFont="1" applyFill="1" applyBorder="1" applyAlignment="1" applyProtection="1">
      <alignment horizontal="center" vertical="center" wrapText="1"/>
      <protection locked="0"/>
    </xf>
    <xf numFmtId="0" fontId="48" fillId="18" borderId="24" xfId="0" applyFont="1" applyFill="1" applyBorder="1" applyAlignment="1" applyProtection="1">
      <alignment horizontal="center" vertical="center"/>
      <protection locked="0"/>
    </xf>
    <xf numFmtId="0" fontId="192" fillId="7" borderId="54" xfId="0" applyFont="1" applyFill="1" applyBorder="1" applyAlignment="1" applyProtection="1">
      <alignment vertical="center"/>
      <protection locked="0"/>
    </xf>
    <xf numFmtId="0" fontId="0" fillId="0" borderId="0" xfId="0" applyAlignment="1">
      <alignment horizontal="center" vertical="center"/>
    </xf>
    <xf numFmtId="0" fontId="266" fillId="0" borderId="1" xfId="0" applyFont="1" applyBorder="1" applyAlignment="1">
      <alignment horizontal="center" vertical="center"/>
    </xf>
    <xf numFmtId="0" fontId="265" fillId="0" borderId="1" xfId="14" applyFont="1" applyFill="1" applyBorder="1" applyAlignment="1">
      <alignment horizontal="center" vertical="center"/>
    </xf>
    <xf numFmtId="0" fontId="265" fillId="0" borderId="1" xfId="14" applyFont="1" applyBorder="1" applyAlignment="1">
      <alignment horizontal="center" vertical="center"/>
    </xf>
    <xf numFmtId="0" fontId="264" fillId="17" borderId="1" xfId="14" applyNumberFormat="1" applyFont="1" applyFill="1" applyBorder="1" applyAlignment="1" applyProtection="1">
      <alignment horizontal="center" vertical="center"/>
      <protection locked="0"/>
    </xf>
    <xf numFmtId="180" fontId="264" fillId="17" borderId="1" xfId="14" applyNumberFormat="1" applyFont="1" applyFill="1" applyBorder="1" applyAlignment="1" applyProtection="1">
      <alignment horizontal="center" vertical="center"/>
      <protection locked="0"/>
    </xf>
    <xf numFmtId="14" fontId="265" fillId="0" borderId="1" xfId="14" applyNumberFormat="1" applyFont="1" applyBorder="1" applyAlignment="1">
      <alignment horizontal="center" vertical="center"/>
    </xf>
    <xf numFmtId="0" fontId="266" fillId="0" borderId="1" xfId="0" applyFont="1" applyFill="1" applyBorder="1" applyAlignment="1">
      <alignment horizontal="center" vertical="center"/>
    </xf>
    <xf numFmtId="2" fontId="264" fillId="17" borderId="1" xfId="14" applyNumberFormat="1" applyFont="1" applyFill="1" applyBorder="1" applyAlignment="1" applyProtection="1">
      <alignment horizontal="center" vertical="center"/>
      <protection locked="0"/>
    </xf>
    <xf numFmtId="0" fontId="259" fillId="0" borderId="1" xfId="0" applyNumberFormat="1" applyFont="1" applyFill="1" applyBorder="1" applyAlignment="1">
      <alignment horizontal="center" vertical="center"/>
    </xf>
    <xf numFmtId="0" fontId="261" fillId="0" borderId="1" xfId="0" applyNumberFormat="1" applyFont="1" applyFill="1" applyBorder="1" applyAlignment="1">
      <alignment horizontal="center" vertical="center"/>
    </xf>
    <xf numFmtId="177" fontId="144" fillId="0" borderId="1" xfId="0" applyNumberFormat="1" applyFont="1" applyFill="1" applyBorder="1" applyAlignment="1">
      <alignment horizontal="center" vertical="center"/>
    </xf>
    <xf numFmtId="176" fontId="114" fillId="0" borderId="1" xfId="13" applyFont="1" applyFill="1" applyBorder="1" applyAlignment="1">
      <alignment horizontal="center"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10" fontId="0" fillId="0" borderId="0" xfId="0" applyNumberFormat="1" applyAlignment="1">
      <alignment horizontal="center" vertical="center"/>
    </xf>
    <xf numFmtId="0" fontId="0" fillId="0" borderId="0" xfId="0"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45" fillId="0" borderId="60" xfId="0" applyFont="1" applyBorder="1" applyAlignment="1">
      <alignment horizontal="center" vertical="center"/>
    </xf>
    <xf numFmtId="0" fontId="85" fillId="16" borderId="13" xfId="0" applyFont="1" applyFill="1" applyBorder="1" applyAlignment="1">
      <alignment horizontal="center" vertical="center"/>
    </xf>
    <xf numFmtId="0" fontId="85" fillId="16" borderId="2"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45" fillId="0" borderId="1" xfId="14" applyFont="1" applyBorder="1" applyAlignment="1">
      <alignment horizontal="center" vertical="center"/>
    </xf>
    <xf numFmtId="0" fontId="258" fillId="0" borderId="13" xfId="14" applyFont="1" applyFill="1" applyBorder="1" applyAlignment="1" applyProtection="1">
      <alignment horizontal="center" vertical="center"/>
      <protection locked="0"/>
    </xf>
    <xf numFmtId="0" fontId="258" fillId="0" borderId="2" xfId="14" applyFont="1" applyFill="1" applyBorder="1" applyAlignment="1" applyProtection="1">
      <alignment horizontal="center" vertical="center"/>
      <protection locked="0"/>
    </xf>
    <xf numFmtId="198" fontId="258" fillId="0" borderId="13" xfId="14" applyNumberFormat="1" applyFont="1" applyFill="1" applyBorder="1" applyAlignment="1" applyProtection="1">
      <alignment horizontal="center" vertical="center"/>
      <protection locked="0"/>
    </xf>
    <xf numFmtId="198" fontId="258" fillId="0" borderId="2" xfId="14" applyNumberFormat="1" applyFont="1" applyFill="1" applyBorder="1" applyAlignment="1" applyProtection="1">
      <alignment horizontal="center" vertical="center"/>
      <protection locked="0"/>
    </xf>
    <xf numFmtId="198" fontId="258" fillId="0" borderId="46" xfId="14" applyNumberFormat="1" applyFont="1" applyFill="1" applyBorder="1" applyAlignment="1" applyProtection="1">
      <alignment horizontal="center" vertical="center"/>
      <protection locked="0"/>
    </xf>
    <xf numFmtId="198" fontId="258" fillId="0" borderId="22" xfId="14" applyNumberFormat="1" applyFont="1" applyFill="1" applyBorder="1" applyAlignment="1" applyProtection="1">
      <alignment horizontal="center" vertical="center"/>
      <protection locked="0"/>
    </xf>
    <xf numFmtId="198" fontId="258" fillId="0" borderId="4" xfId="14" applyNumberFormat="1" applyFont="1" applyFill="1" applyBorder="1" applyAlignment="1" applyProtection="1">
      <alignment horizontal="center" vertical="center"/>
      <protection locked="0"/>
    </xf>
    <xf numFmtId="198" fontId="258" fillId="0" borderId="7" xfId="14" applyNumberFormat="1" applyFont="1" applyFill="1" applyBorder="1" applyAlignment="1" applyProtection="1">
      <alignment horizontal="center" vertical="center"/>
      <protection locked="0"/>
    </xf>
    <xf numFmtId="0" fontId="264" fillId="17" borderId="15" xfId="14" applyNumberFormat="1" applyFont="1" applyFill="1" applyBorder="1" applyAlignment="1" applyProtection="1">
      <alignment horizontal="center" vertical="center"/>
      <protection locked="0"/>
    </xf>
    <xf numFmtId="0" fontId="264" fillId="17" borderId="2" xfId="14" applyNumberFormat="1" applyFont="1" applyFill="1" applyBorder="1" applyAlignment="1" applyProtection="1">
      <alignment horizontal="center" vertical="center"/>
      <protection locked="0"/>
    </xf>
    <xf numFmtId="0" fontId="145" fillId="0" borderId="60" xfId="14" applyFont="1" applyFill="1" applyBorder="1" applyAlignment="1">
      <alignment horizontal="center" vertical="center"/>
    </xf>
    <xf numFmtId="198" fontId="258" fillId="0" borderId="5" xfId="14" applyNumberFormat="1" applyFont="1" applyFill="1" applyBorder="1" applyAlignment="1" applyProtection="1">
      <alignment horizontal="center" vertical="center"/>
      <protection locked="0"/>
    </xf>
    <xf numFmtId="198" fontId="258" fillId="0" borderId="3" xfId="14" applyNumberFormat="1" applyFont="1" applyFill="1" applyBorder="1" applyAlignment="1" applyProtection="1">
      <alignment horizontal="center" vertical="center"/>
      <protection locked="0"/>
    </xf>
    <xf numFmtId="198" fontId="258" fillId="5" borderId="5" xfId="14" applyNumberFormat="1" applyFont="1" applyFill="1" applyBorder="1" applyAlignment="1" applyProtection="1">
      <alignment horizontal="center" vertical="center"/>
      <protection locked="0"/>
    </xf>
    <xf numFmtId="198" fontId="258" fillId="5" borderId="3" xfId="14" applyNumberFormat="1" applyFont="1" applyFill="1" applyBorder="1" applyAlignment="1" applyProtection="1">
      <alignment horizontal="center" vertical="center"/>
      <protection locked="0"/>
    </xf>
    <xf numFmtId="0" fontId="258" fillId="0" borderId="1" xfId="14" applyFont="1" applyFill="1" applyBorder="1" applyAlignment="1" applyProtection="1">
      <alignment horizontal="center" vertical="center"/>
      <protection locked="0"/>
    </xf>
    <xf numFmtId="0" fontId="4" fillId="0" borderId="1" xfId="14" applyFill="1" applyBorder="1" applyAlignment="1">
      <alignment horizontal="center" vertical="center"/>
    </xf>
    <xf numFmtId="0" fontId="266" fillId="0" borderId="2" xfId="0" applyFont="1" applyBorder="1" applyAlignment="1">
      <alignment horizontal="center" vertical="center"/>
    </xf>
    <xf numFmtId="0" fontId="266" fillId="0" borderId="1" xfId="0" applyFont="1" applyBorder="1" applyAlignment="1">
      <alignment horizontal="center" vertical="center"/>
    </xf>
    <xf numFmtId="0" fontId="261" fillId="0" borderId="13" xfId="0" applyNumberFormat="1" applyFont="1" applyBorder="1" applyAlignment="1">
      <alignment horizontal="left" vertical="center"/>
    </xf>
    <xf numFmtId="0" fontId="261" fillId="0" borderId="2" xfId="0" applyNumberFormat="1" applyFont="1" applyBorder="1" applyAlignment="1">
      <alignment horizontal="left" vertical="center"/>
    </xf>
    <xf numFmtId="198" fontId="264" fillId="17" borderId="15" xfId="14" applyNumberFormat="1" applyFont="1" applyFill="1" applyBorder="1" applyAlignment="1" applyProtection="1">
      <alignment horizontal="center" vertical="center"/>
      <protection locked="0"/>
    </xf>
    <xf numFmtId="198" fontId="264" fillId="17" borderId="2" xfId="14" applyNumberFormat="1" applyFont="1" applyFill="1" applyBorder="1" applyAlignment="1" applyProtection="1">
      <alignment horizontal="center" vertical="center"/>
      <protection locked="0"/>
    </xf>
    <xf numFmtId="0" fontId="265" fillId="0" borderId="2" xfId="14" applyFont="1" applyFill="1" applyBorder="1" applyAlignment="1">
      <alignment horizontal="center" vertical="center"/>
    </xf>
    <xf numFmtId="0" fontId="265" fillId="0" borderId="1" xfId="14" applyFont="1" applyFill="1" applyBorder="1" applyAlignment="1">
      <alignment horizontal="center" vertical="center"/>
    </xf>
    <xf numFmtId="0" fontId="4" fillId="0" borderId="13" xfId="14" applyFill="1" applyBorder="1" applyAlignment="1">
      <alignment horizontal="center" vertical="center"/>
    </xf>
    <xf numFmtId="0" fontId="4" fillId="0" borderId="2" xfId="14" applyFill="1" applyBorder="1" applyAlignment="1">
      <alignment horizontal="center" vertical="center"/>
    </xf>
    <xf numFmtId="0" fontId="100" fillId="0" borderId="5" xfId="0" applyFont="1" applyBorder="1" applyAlignment="1">
      <alignment horizontal="center" vertical="center"/>
    </xf>
    <xf numFmtId="0" fontId="100" fillId="0" borderId="3" xfId="0" applyFont="1" applyBorder="1" applyAlignment="1">
      <alignment horizontal="center" vertical="center"/>
    </xf>
    <xf numFmtId="0" fontId="0" fillId="0" borderId="3" xfId="0" applyBorder="1" applyAlignment="1">
      <alignment horizontal="center" vertical="center"/>
    </xf>
    <xf numFmtId="0" fontId="263" fillId="6" borderId="63" xfId="0" applyFont="1" applyFill="1" applyBorder="1" applyAlignment="1">
      <alignment horizontal="center"/>
    </xf>
    <xf numFmtId="0" fontId="263" fillId="6" borderId="64" xfId="0" applyFont="1" applyFill="1" applyBorder="1" applyAlignment="1">
      <alignment horizontal="center"/>
    </xf>
  </cellXfs>
  <cellStyles count="15">
    <cellStyle name="常规" xfId="0" builtinId="0"/>
    <cellStyle name="常规 16" xfId="10"/>
    <cellStyle name="常规 2" xfId="1"/>
    <cellStyle name="常规 2 2" xfId="8"/>
    <cellStyle name="常规 2 8"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3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jfh-wuh07/AppData/Local/Temp/notes87944B/&#35780;&#20272;&#27979;&#31639;&#34920;&#65288;&#20048;&#25104;&#20013;&#24515;&#65289;&#32508;&#21512;&#25910;&#30410;-17.1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7979;&#31639;&#20048;&#25104;&#22312;&#24314;-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收入测算表"/>
      <sheetName val="成本税费预测表"/>
      <sheetName val="损益表"/>
      <sheetName val="现金流量表"/>
      <sheetName val="借款偿还预测表"/>
      <sheetName val="写字楼实际计费面积"/>
      <sheetName val="商业实际计费面积"/>
      <sheetName val="房产证面积"/>
    </sheetNames>
    <sheetDataSet>
      <sheetData sheetId="0" refreshError="1"/>
      <sheetData sheetId="1" refreshError="1"/>
      <sheetData sheetId="2" refreshError="1"/>
      <sheetData sheetId="3" refreshError="1"/>
      <sheetData sheetId="4" refreshError="1"/>
      <sheetData sheetId="5" refreshError="1">
        <row r="155">
          <cell r="F155">
            <v>63697</v>
          </cell>
        </row>
      </sheetData>
      <sheetData sheetId="6" refreshError="1">
        <row r="49">
          <cell r="C49">
            <v>7507</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车库"/>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41231.079999999994</v>
          </cell>
        </row>
        <row r="19">
          <cell r="G19">
            <v>141148</v>
          </cell>
        </row>
        <row r="118">
          <cell r="D118">
            <v>119835</v>
          </cell>
          <cell r="F118">
            <v>21313</v>
          </cell>
          <cell r="I118">
            <v>34233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北京市朝阳区东三环中路20、24号楼2幢商业用房房地产房地产抵押价值预评估</v>
      </c>
    </row>
    <row r="3" spans="1:2" s="1598" customFormat="1">
      <c r="A3" s="1596" t="s">
        <v>1222</v>
      </c>
      <c r="B3" s="1597" t="str">
        <f>'预评函-封皮'!B40</f>
        <v>北京达义北方置业有限公司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受贵公司委托，我公司对北京市朝阳区东三环中路20、24号楼2幢商业用房房地产房地产抵押价值进行了预评估。</v>
      </c>
    </row>
    <row r="7" spans="1:2" s="1598" customFormat="1">
      <c r="A7" s="1596" t="s">
        <v>1265</v>
      </c>
      <c r="B7" s="1597" t="str">
        <f>'预评函-1'!A7</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为估价委托人在向工商银行股份有限公司北京九龙山支行办理贷款手续过程中，确定房地产抵押贷款额度提供参考依据而评估房地产抵押价值。</v>
      </c>
    </row>
    <row r="12" spans="1:2" s="1598" customFormat="1">
      <c r="A12" s="1596" t="s">
        <v>1227</v>
      </c>
      <c r="B12" s="1597" t="str">
        <f>'预评函-1'!A15</f>
        <v>2018年1月4日（评估专业人员实地查勘之日）</v>
      </c>
    </row>
    <row r="13" spans="1:2" s="1598" customFormat="1">
      <c r="A13" s="1596" t="s">
        <v>1228</v>
      </c>
      <c r="B13" s="1597" t="str">
        <f>'预评函-1'!A18</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4" spans="1:2" s="1598" customFormat="1">
      <c r="A14" s="1596" t="s">
        <v>1229</v>
      </c>
      <c r="B14" s="1597" t="str">
        <f>'预评函-1'!A19</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85442</v>
      </c>
    </row>
    <row r="21" spans="1:2" s="1598" customFormat="1">
      <c r="A21" s="1596" t="s">
        <v>1236</v>
      </c>
      <c r="B21" s="1597">
        <f ca="1">'预评函-2'!D7</f>
        <v>12858</v>
      </c>
    </row>
    <row r="22" spans="1:2" s="1598" customFormat="1">
      <c r="A22" s="1596" t="s">
        <v>1237</v>
      </c>
      <c r="B22" s="1597" t="str">
        <f ca="1">'预评函-2'!D6</f>
        <v>捌亿伍仟肆佰肆拾贰万元整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85442</v>
      </c>
    </row>
    <row r="31" spans="1:2" s="1598" customFormat="1">
      <c r="A31" s="1596" t="s">
        <v>1275</v>
      </c>
      <c r="B31" s="1597">
        <f ca="1">'预评函-2'!D15</f>
        <v>12858</v>
      </c>
    </row>
    <row r="32" spans="1:2" s="1598" customFormat="1">
      <c r="A32" s="1596" t="s">
        <v>1242</v>
      </c>
      <c r="B32" s="1597" t="str">
        <f ca="1">'预评函-2'!D14</f>
        <v>捌亿伍仟肆佰肆拾贰万元整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北京市朝阳区东三环中路20、24号楼2幢商业用房房地产房地产</v>
      </c>
    </row>
    <row r="42" spans="1:2" s="1598" customFormat="1">
      <c r="A42" s="1596" t="s">
        <v>1289</v>
      </c>
      <c r="B42" s="1597" t="str">
        <f>'预评函-3'!B2</f>
        <v>建筑面积</v>
      </c>
    </row>
    <row r="43" spans="1:2" s="1598" customFormat="1">
      <c r="A43" s="1596" t="s">
        <v>1290</v>
      </c>
      <c r="B43" s="1597">
        <f>'预评函-3'!B4</f>
        <v>66448.330000000016</v>
      </c>
    </row>
    <row r="44" spans="1:2" s="1598" customFormat="1">
      <c r="A44" s="1596" t="s">
        <v>1274</v>
      </c>
      <c r="B44" s="1597" t="str">
        <f>'预评函-3'!C2</f>
        <v>(分摊)土地面积</v>
      </c>
    </row>
    <row r="45" spans="1:2" s="1598" customFormat="1">
      <c r="A45" s="1596" t="s">
        <v>1246</v>
      </c>
      <c r="B45" s="1597">
        <f>'预评函-3'!C4</f>
        <v>9773.2199999999993</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X31" sqref="X3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3050</v>
      </c>
      <c r="C17" s="2020"/>
    </row>
    <row r="18" spans="1:3">
      <c r="A18" s="2019" t="s">
        <v>1769</v>
      </c>
      <c r="B18" s="2019" t="s">
        <v>3051</v>
      </c>
      <c r="C18" s="2020"/>
    </row>
    <row r="19" spans="1:3">
      <c r="A19" s="2019" t="s">
        <v>1770</v>
      </c>
      <c r="B19" s="2019" t="s">
        <v>3317</v>
      </c>
      <c r="C19" s="2020"/>
    </row>
    <row r="20" spans="1:3">
      <c r="A20" s="2019" t="s">
        <v>1771</v>
      </c>
      <c r="B20" s="2019" t="s">
        <v>3318</v>
      </c>
      <c r="C20" s="2020"/>
    </row>
    <row r="21" spans="1:3">
      <c r="A21" s="2019" t="s">
        <v>1772</v>
      </c>
      <c r="B21" s="2019" t="s">
        <v>3319</v>
      </c>
      <c r="C21" s="2020"/>
    </row>
    <row r="22" spans="1:3">
      <c r="A22" s="2019" t="s">
        <v>1773</v>
      </c>
      <c r="B22" s="2019" t="s">
        <v>3320</v>
      </c>
      <c r="C22" s="2020"/>
    </row>
    <row r="23" spans="1:3">
      <c r="A23" s="2019" t="s">
        <v>1774</v>
      </c>
      <c r="B23" s="2019" t="s">
        <v>3321</v>
      </c>
      <c r="C23" s="2020"/>
    </row>
    <row r="24" spans="1:3">
      <c r="A24" s="2019" t="s">
        <v>1775</v>
      </c>
      <c r="B24" s="2019" t="s">
        <v>3322</v>
      </c>
      <c r="C24" s="2020"/>
    </row>
    <row r="25" spans="1:3">
      <c r="A25" s="2019" t="s">
        <v>1776</v>
      </c>
      <c r="B25" s="2019" t="s">
        <v>3419</v>
      </c>
      <c r="C25" s="2020"/>
    </row>
    <row r="26" spans="1:3">
      <c r="A26" s="2019" t="s">
        <v>1777</v>
      </c>
      <c r="B26" s="2019" t="s">
        <v>3425</v>
      </c>
      <c r="C26" s="2020"/>
    </row>
    <row r="27" spans="1:3">
      <c r="A27" s="2019" t="s">
        <v>757</v>
      </c>
      <c r="B27" s="2019" t="s">
        <v>3432</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义北方置业有限公司拟使用北京市朝阳区东三环中路20、24号楼2幢商业用房房地产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147"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47"/>
      <c r="B54" s="2027" t="s">
        <v>864</v>
      </c>
      <c r="C54" s="2024" t="s">
        <v>1282</v>
      </c>
    </row>
    <row r="55" spans="1:4">
      <c r="A55" s="3147"/>
      <c r="B55" s="2027" t="s">
        <v>865</v>
      </c>
      <c r="C55" s="2024" t="s">
        <v>1283</v>
      </c>
    </row>
    <row r="56" spans="1:4">
      <c r="A56" s="3147"/>
      <c r="B56" s="2027" t="s">
        <v>866</v>
      </c>
      <c r="C56" s="2024" t="s">
        <v>1287</v>
      </c>
    </row>
    <row r="57" spans="1:4">
      <c r="A57" s="3147"/>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7" customWidth="1"/>
    <col min="2" max="2" width="10" style="2037" customWidth="1"/>
    <col min="3" max="3" width="11.5" style="2037" customWidth="1"/>
    <col min="4" max="4" width="12.375" style="2037" customWidth="1"/>
    <col min="5" max="6" width="10" style="2037" customWidth="1"/>
    <col min="7" max="7" width="10.75" style="2037" customWidth="1"/>
    <col min="8" max="8" width="10" style="2037" customWidth="1"/>
    <col min="9" max="9" width="11.125" style="2160" customWidth="1"/>
    <col min="10" max="10" width="10" style="2037" customWidth="1"/>
    <col min="11" max="11" width="10" style="2161" customWidth="1"/>
    <col min="12" max="13" width="10" style="2162" customWidth="1"/>
    <col min="14" max="14" width="10" style="2037" customWidth="1"/>
    <col min="15" max="15" width="10" style="2160" customWidth="1"/>
    <col min="16" max="17" width="10" style="2037"/>
    <col min="18" max="18" width="10" style="2037" customWidth="1"/>
    <col min="19" max="16384" width="10" style="2037"/>
  </cols>
  <sheetData>
    <row r="1" spans="1:19" ht="38.25" customHeight="1" thickBot="1">
      <c r="A1" s="2030" t="s">
        <v>1778</v>
      </c>
      <c r="B1" s="3156" t="str">
        <f>IF(B10="北京市","北京市",C10)&amp;F10&amp;IF(结果表!G1="在建","出让国有建设用地使用权及在建建筑物",IF(结果表!G1="土地","出让国有建设用地使用权",))&amp;B9&amp;"预评估"</f>
        <v>北京市朝阳区东三环中路20、24号楼2幢商业用房房地产房地产抵押价值预评估</v>
      </c>
      <c r="C1" s="3157"/>
      <c r="D1" s="3157"/>
      <c r="E1" s="3157"/>
      <c r="F1" s="3157"/>
      <c r="G1" s="3157"/>
      <c r="H1" s="3157"/>
      <c r="I1" s="3158"/>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北京市朝阳区东三环中路20、24号楼2幢商业用房房地产房地产抵押价值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北京市朝阳区东三环中路20、24号楼2幢商业用房房地产房地产</v>
      </c>
    </row>
    <row r="3" spans="1:19" ht="18" customHeight="1">
      <c r="A3" s="2040" t="s">
        <v>1780</v>
      </c>
      <c r="B3" s="2041">
        <v>43104</v>
      </c>
      <c r="C3" s="2042" t="s">
        <v>1781</v>
      </c>
      <c r="D3" s="2041">
        <v>43104</v>
      </c>
      <c r="E3" s="2031"/>
      <c r="F3" s="2031"/>
      <c r="G3" s="2031"/>
      <c r="H3" s="2031"/>
      <c r="I3" s="2031"/>
      <c r="J3" s="2031"/>
      <c r="K3" s="2032"/>
      <c r="L3" s="2033"/>
      <c r="M3" s="2033"/>
      <c r="N3" s="2034"/>
      <c r="O3" s="2035"/>
      <c r="P3" s="2034"/>
      <c r="Q3" s="2034"/>
      <c r="R3" s="2034"/>
      <c r="S3" s="2036"/>
    </row>
    <row r="4" spans="1:19" ht="18" customHeight="1" thickBot="1">
      <c r="A4" s="2043" t="s">
        <v>1782</v>
      </c>
      <c r="B4" s="2044" t="s">
        <v>3119</v>
      </c>
      <c r="C4" s="1041">
        <f ca="1">SUMIF(注册房地产估价师,B4,估价师及机构信息!B3:B24)</f>
        <v>1120140022</v>
      </c>
      <c r="D4" s="2044" t="s">
        <v>3120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983" t="s">
        <v>3121</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84" t="s">
        <v>3128</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1785</v>
      </c>
      <c r="B7" s="2984" t="s">
        <v>3470</v>
      </c>
      <c r="C7" s="2053"/>
      <c r="D7" s="2054"/>
      <c r="E7" s="2039"/>
      <c r="F7" s="2047"/>
      <c r="G7" s="2047"/>
      <c r="H7" s="2047"/>
      <c r="I7" s="2047"/>
      <c r="J7" s="2047"/>
      <c r="K7" s="2056"/>
      <c r="L7" s="2033"/>
      <c r="M7" s="2033"/>
      <c r="N7" s="2034"/>
      <c r="O7" s="2035"/>
      <c r="P7" s="2034"/>
      <c r="Q7" s="2034"/>
      <c r="R7" s="2034"/>
    </row>
    <row r="8" spans="1:19" ht="18" customHeight="1">
      <c r="A8" s="2052" t="s">
        <v>1786</v>
      </c>
      <c r="B8" s="2057" t="s">
        <v>3122</v>
      </c>
      <c r="C8" s="2058"/>
      <c r="D8" s="3159" t="s">
        <v>1787</v>
      </c>
      <c r="E8" s="2059" t="s">
        <v>3123</v>
      </c>
      <c r="F8" s="2060"/>
      <c r="G8" s="2031"/>
      <c r="H8" s="2031"/>
      <c r="I8" s="2031"/>
      <c r="J8" s="2047"/>
      <c r="K8" s="2048"/>
      <c r="L8" s="2033"/>
      <c r="M8" s="2033"/>
      <c r="N8" s="2034"/>
      <c r="O8" s="2035"/>
      <c r="P8" s="2034"/>
      <c r="Q8" s="2034"/>
      <c r="R8" s="2034"/>
    </row>
    <row r="9" spans="1:19" ht="18" customHeight="1" thickBot="1">
      <c r="A9" s="2045" t="s">
        <v>1788</v>
      </c>
      <c r="B9" s="2061" t="s">
        <v>3123</v>
      </c>
      <c r="C9" s="2062"/>
      <c r="D9" s="3160"/>
      <c r="E9" s="2061" t="s">
        <v>70</v>
      </c>
      <c r="F9" s="2063"/>
      <c r="G9" s="2064"/>
      <c r="H9" s="2064"/>
      <c r="I9" s="2064"/>
      <c r="J9" s="2047"/>
      <c r="K9" s="2056"/>
      <c r="L9" s="2033"/>
      <c r="M9" s="2033"/>
      <c r="N9" s="2034"/>
      <c r="O9" s="2035"/>
      <c r="P9" s="2034"/>
      <c r="Q9" s="2034"/>
      <c r="R9" s="2034"/>
    </row>
    <row r="10" spans="1:19" ht="18" customHeight="1" thickTop="1">
      <c r="A10" s="2065" t="s">
        <v>1789</v>
      </c>
      <c r="B10" s="2066" t="s">
        <v>3124</v>
      </c>
      <c r="C10" s="2067"/>
      <c r="D10" s="2051"/>
      <c r="E10" s="2068" t="s">
        <v>1790</v>
      </c>
      <c r="F10" s="2069" t="s">
        <v>3468</v>
      </c>
      <c r="G10" s="2070"/>
      <c r="H10" s="2071"/>
      <c r="I10" s="2051"/>
      <c r="J10" s="2047"/>
      <c r="K10" s="2056"/>
      <c r="L10" s="2033"/>
      <c r="M10" s="2033"/>
      <c r="N10" s="2034"/>
      <c r="O10" s="2035"/>
      <c r="P10" s="2034"/>
      <c r="Q10" s="2034"/>
      <c r="R10" s="2034"/>
    </row>
    <row r="11" spans="1:19" ht="18" customHeight="1">
      <c r="A11" s="2072" t="s">
        <v>1791</v>
      </c>
      <c r="B11" s="2073" t="s">
        <v>3469</v>
      </c>
      <c r="C11" s="3090" t="s">
        <v>3471</v>
      </c>
      <c r="D11" s="2074"/>
      <c r="E11" s="2047"/>
      <c r="F11" s="2047"/>
      <c r="G11" s="2047"/>
      <c r="H11" s="2047"/>
      <c r="I11" s="2047"/>
      <c r="J11" s="2047"/>
      <c r="K11" s="2056"/>
      <c r="L11" s="2033"/>
      <c r="M11" s="2033"/>
      <c r="N11" s="2034"/>
      <c r="O11" s="2035"/>
      <c r="P11" s="2034"/>
      <c r="Q11" s="2034"/>
      <c r="R11" s="2034"/>
    </row>
    <row r="12" spans="1:19" ht="18" customHeight="1">
      <c r="A12" s="2075" t="s">
        <v>1792</v>
      </c>
      <c r="B12" s="2073" t="s">
        <v>3041</v>
      </c>
      <c r="C12" s="2076" t="s">
        <v>1793</v>
      </c>
      <c r="D12" s="2077" t="s">
        <v>1794</v>
      </c>
      <c r="E12" s="2077" t="s">
        <v>1795</v>
      </c>
      <c r="F12" s="2077" t="s">
        <v>1796</v>
      </c>
      <c r="G12" s="2077" t="s">
        <v>1797</v>
      </c>
      <c r="H12" s="2077" t="s">
        <v>1798</v>
      </c>
      <c r="I12" s="2077" t="s">
        <v>1799</v>
      </c>
      <c r="J12" s="2047"/>
      <c r="K12" s="2056"/>
      <c r="L12" s="2033"/>
      <c r="M12" s="2033"/>
      <c r="N12" s="2034"/>
      <c r="O12" s="2035"/>
      <c r="P12" s="2034"/>
      <c r="Q12" s="2034"/>
      <c r="R12" s="2034"/>
    </row>
    <row r="13" spans="1:19" ht="18" customHeight="1">
      <c r="A13" s="2078"/>
      <c r="B13" s="2079"/>
      <c r="C13" s="2080" t="s">
        <v>1800</v>
      </c>
      <c r="D13" s="2081"/>
      <c r="E13" s="2081">
        <v>52550</v>
      </c>
      <c r="F13" s="2081">
        <v>56203</v>
      </c>
      <c r="G13" s="2081">
        <v>56203</v>
      </c>
      <c r="H13" s="2081"/>
      <c r="I13" s="1051"/>
      <c r="J13" s="2047"/>
      <c r="K13" s="2056"/>
      <c r="L13" s="2033"/>
      <c r="M13" s="2033"/>
      <c r="N13" s="2034"/>
      <c r="O13" s="2035"/>
      <c r="P13" s="2034"/>
      <c r="Q13" s="2034"/>
      <c r="R13" s="2034"/>
    </row>
    <row r="14" spans="1:19" ht="18" customHeight="1">
      <c r="A14" s="2078"/>
      <c r="B14" s="2079"/>
      <c r="C14" s="2080" t="s">
        <v>1801</v>
      </c>
      <c r="D14" s="1054"/>
      <c r="E14" s="1054">
        <v>40</v>
      </c>
      <c r="F14" s="1054">
        <v>50</v>
      </c>
      <c r="G14" s="1054">
        <v>50</v>
      </c>
      <c r="H14" s="1054"/>
      <c r="I14" s="1054"/>
      <c r="J14" s="2047"/>
      <c r="K14" s="2082"/>
      <c r="L14" s="2033"/>
      <c r="M14" s="2033"/>
      <c r="N14" s="2034"/>
      <c r="O14" s="2035"/>
      <c r="P14" s="2034"/>
      <c r="Q14" s="2034"/>
      <c r="R14" s="2034"/>
    </row>
    <row r="15" spans="1:19" ht="18" customHeight="1">
      <c r="A15" s="2065"/>
      <c r="B15" s="2083"/>
      <c r="C15" s="2080" t="s">
        <v>1802</v>
      </c>
      <c r="D15" s="1053" t="str">
        <f>IF(B12="出让",IF(D13="","",ROUNDDOWN(MIN((D13-$D$3)/365,D14),2)),D14)</f>
        <v/>
      </c>
      <c r="E15" s="1053">
        <f>IF(B12="出让",IF(E13="","",ROUNDDOWN(MIN((E13-$D$3)/365,E14),2)),E14)</f>
        <v>25.87</v>
      </c>
      <c r="F15" s="1053">
        <f>IF(B12="出让",IF(F13="","",ROUNDDOWN(MIN((F13-$D$3)/365,F14),2)),F14)</f>
        <v>35.880000000000003</v>
      </c>
      <c r="G15" s="1053">
        <f>IF(B12="出让",IF(G13="","",ROUNDDOWN(MIN((G13-$D$3)/365,G14),2)),G14)</f>
        <v>35.880000000000003</v>
      </c>
      <c r="H15" s="1053" t="str">
        <f>IF(B12="出让",IF(H13="","",ROUNDDOWN(MIN((H13-$D$3)/365,H14),2)),H14)</f>
        <v/>
      </c>
      <c r="I15" s="1053" t="str">
        <f>IF(B12="出让",IF(I13="","",ROUNDDOWN(MIN((I13-$D$3)/365,I14),2)),I14)</f>
        <v/>
      </c>
      <c r="J15" s="2047"/>
      <c r="K15" s="2084"/>
      <c r="L15" s="2085"/>
      <c r="M15" s="2085"/>
      <c r="N15" s="2086"/>
      <c r="O15" s="2085"/>
      <c r="P15" s="2086"/>
      <c r="Q15" s="2034"/>
      <c r="R15" s="2034"/>
    </row>
    <row r="16" spans="1:19" ht="30.75" customHeight="1">
      <c r="A16" s="2068" t="s">
        <v>1803</v>
      </c>
      <c r="B16" s="3166" t="s">
        <v>3473</v>
      </c>
      <c r="C16" s="3167"/>
      <c r="D16" s="3168"/>
      <c r="E16" s="2087" t="s">
        <v>1804</v>
      </c>
      <c r="F16" s="3169" t="s">
        <v>3474</v>
      </c>
      <c r="G16" s="3170"/>
      <c r="H16" s="3170"/>
      <c r="I16" s="3171"/>
      <c r="J16" s="2034"/>
      <c r="K16" s="2084"/>
      <c r="L16" s="2085"/>
      <c r="M16" s="2085"/>
      <c r="N16" s="2086"/>
      <c r="O16" s="2085"/>
      <c r="P16" s="2086"/>
      <c r="Q16" s="2034"/>
      <c r="R16" s="2034"/>
    </row>
    <row r="17" spans="1:22" ht="18" customHeight="1">
      <c r="A17" s="2088" t="s">
        <v>1805</v>
      </c>
      <c r="B17" s="2040" t="s">
        <v>1806</v>
      </c>
      <c r="C17" s="1058">
        <f>'数据-汇总表'!E3</f>
        <v>66448.330000000016</v>
      </c>
      <c r="D17" s="2089" t="s">
        <v>1807</v>
      </c>
      <c r="E17" s="3172" t="s">
        <v>3475</v>
      </c>
      <c r="F17" s="3173"/>
      <c r="G17" s="3173"/>
      <c r="H17" s="3173"/>
      <c r="I17" s="3174"/>
      <c r="J17" s="2034"/>
      <c r="K17" s="2090"/>
      <c r="L17" s="2085"/>
      <c r="M17" s="2085"/>
      <c r="N17" s="2086"/>
      <c r="O17" s="2085"/>
      <c r="P17" s="2086"/>
      <c r="Q17" s="2034"/>
      <c r="R17" s="2034"/>
      <c r="S17" s="2034"/>
      <c r="T17" s="2034"/>
      <c r="U17" s="2034"/>
      <c r="V17" s="2034"/>
    </row>
    <row r="18" spans="1:22" ht="36" customHeight="1" thickBot="1">
      <c r="A18" s="2091" t="s">
        <v>1808</v>
      </c>
      <c r="B18" s="2043" t="s">
        <v>1809</v>
      </c>
      <c r="C18" s="1448">
        <f>'数据-汇总表'!D3</f>
        <v>9773.2199999999993</v>
      </c>
      <c r="D18" s="2092" t="s">
        <v>1807</v>
      </c>
      <c r="E18" s="3175" t="s">
        <v>3125</v>
      </c>
      <c r="F18" s="3176"/>
      <c r="G18" s="3176"/>
      <c r="H18" s="3176"/>
      <c r="I18" s="3177"/>
      <c r="J18" s="2034"/>
      <c r="K18" s="2090"/>
      <c r="L18" s="2085"/>
      <c r="M18" s="2085"/>
      <c r="N18" s="2086"/>
      <c r="O18" s="2085"/>
      <c r="P18" s="2086"/>
      <c r="Q18" s="2034"/>
      <c r="R18" s="2034"/>
      <c r="S18" s="2034"/>
      <c r="T18" s="2034"/>
      <c r="U18" s="2034"/>
      <c r="V18" s="2034"/>
    </row>
    <row r="19" spans="1:22" ht="37.5" customHeight="1" thickTop="1" thickBot="1">
      <c r="A19" s="374" t="s">
        <v>1810</v>
      </c>
      <c r="B19" s="353" t="s">
        <v>1811</v>
      </c>
      <c r="C19" s="2093" t="s">
        <v>3042</v>
      </c>
      <c r="D19" s="2094" t="s">
        <v>1812</v>
      </c>
      <c r="E19" s="2095" t="s">
        <v>3042</v>
      </c>
      <c r="F19" s="2096" t="str">
        <f>IF(AND(C19="是",E19="否"),"是否提供他项权证或相关说明","")</f>
        <v/>
      </c>
      <c r="G19" s="2097"/>
      <c r="H19" s="2047"/>
      <c r="I19" s="2047"/>
      <c r="J19" s="2047"/>
      <c r="K19" s="2056"/>
      <c r="L19" s="2033"/>
      <c r="M19" s="2033"/>
      <c r="N19" s="2086"/>
      <c r="O19" s="2085"/>
      <c r="P19" s="2086"/>
      <c r="Q19" s="2034"/>
      <c r="R19" s="2034"/>
      <c r="S19" s="2034"/>
      <c r="T19" s="2034"/>
      <c r="U19" s="2034"/>
      <c r="V19" s="2034"/>
    </row>
    <row r="20" spans="1:22" ht="18" customHeight="1">
      <c r="A20" s="2098" t="s">
        <v>1813</v>
      </c>
      <c r="B20" s="3162" t="s">
        <v>1814</v>
      </c>
      <c r="C20" s="3163"/>
      <c r="D20" s="3164" t="s">
        <v>1815</v>
      </c>
      <c r="E20" s="3165"/>
      <c r="F20" s="2099" t="s">
        <v>1816</v>
      </c>
      <c r="G20" s="2047"/>
      <c r="H20" s="2047"/>
      <c r="I20" s="2047"/>
      <c r="J20" s="2047"/>
      <c r="K20" s="3161" t="s">
        <v>1817</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6"/>
      <c r="O20" s="2085"/>
      <c r="P20" s="2086"/>
      <c r="Q20" s="2034"/>
      <c r="R20" s="2034"/>
      <c r="S20" s="2034"/>
      <c r="T20" s="2034"/>
      <c r="U20" s="2034"/>
      <c r="V20" s="2034"/>
    </row>
    <row r="21" spans="1:22" ht="24.75" customHeight="1">
      <c r="A21" s="2098"/>
      <c r="B21" s="2100" t="s">
        <v>1818</v>
      </c>
      <c r="C21" s="2101" t="s">
        <v>3127</v>
      </c>
      <c r="D21" s="2102"/>
      <c r="E21" s="2103" t="s">
        <v>70</v>
      </c>
      <c r="F21" s="2104"/>
      <c r="G21" s="2047"/>
      <c r="H21" s="2047"/>
      <c r="I21" s="2047"/>
      <c r="J21" s="2047"/>
      <c r="K21" s="3161"/>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上述抵押权设定日期为2016年7月23日，权利人为工商银行股份有限公司北京九龙山支行，权利范围为全部土地及全部房屋，权利价值为402609万元。</v>
      </c>
      <c r="M21" s="2033"/>
      <c r="N21" s="2086"/>
      <c r="O21" s="2085"/>
      <c r="P21" s="2086"/>
      <c r="Q21" s="2034"/>
      <c r="R21" s="2034"/>
      <c r="S21" s="2034"/>
      <c r="T21" s="2034"/>
      <c r="U21" s="2034"/>
      <c r="V21" s="2034"/>
    </row>
    <row r="22" spans="1:22" ht="24.75" customHeight="1" thickBot="1">
      <c r="A22" s="2098"/>
      <c r="B22" s="2105" t="s">
        <v>1819</v>
      </c>
      <c r="C22" s="2101" t="s">
        <v>3127</v>
      </c>
      <c r="D22" s="2031"/>
      <c r="E22" s="2031"/>
      <c r="F22" s="2106"/>
      <c r="G22" s="2047"/>
      <c r="H22" s="2047"/>
      <c r="I22" s="2047"/>
      <c r="J22" s="2047"/>
      <c r="K22" s="3161"/>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6"/>
      <c r="O22" s="2085"/>
      <c r="P22" s="2086"/>
      <c r="Q22" s="2034"/>
      <c r="R22" s="2034"/>
      <c r="S22" s="2034"/>
      <c r="T22" s="2034"/>
      <c r="U22" s="2034"/>
      <c r="V22" s="2034"/>
    </row>
    <row r="23" spans="1:22" ht="18" customHeight="1">
      <c r="A23" s="2107" t="s">
        <v>1820</v>
      </c>
      <c r="B23" s="184" t="s">
        <v>1821</v>
      </c>
      <c r="C23" s="2108">
        <v>42574</v>
      </c>
      <c r="D23" s="2109" t="s">
        <v>1821</v>
      </c>
      <c r="E23" s="2110"/>
      <c r="F23" s="2106"/>
      <c r="G23" s="2047"/>
      <c r="H23" s="2047"/>
      <c r="I23" s="2047"/>
      <c r="J23" s="2047"/>
      <c r="K23" s="2111"/>
      <c r="L23" s="749"/>
      <c r="M23" s="2033"/>
      <c r="N23" s="2086"/>
      <c r="O23" s="2085"/>
      <c r="P23" s="2086"/>
      <c r="Q23" s="2034"/>
      <c r="R23" s="2034"/>
      <c r="S23" s="2034"/>
      <c r="T23" s="2034"/>
      <c r="U23" s="2034"/>
      <c r="V23" s="2034"/>
    </row>
    <row r="24" spans="1:22" ht="36">
      <c r="A24" s="2112"/>
      <c r="B24" s="184" t="s">
        <v>1822</v>
      </c>
      <c r="C24" s="2985" t="s">
        <v>3128</v>
      </c>
      <c r="D24" s="2107" t="s">
        <v>1822</v>
      </c>
      <c r="E24" s="2113"/>
      <c r="F24" s="2106"/>
      <c r="G24" s="2047"/>
      <c r="H24" s="2047"/>
      <c r="I24" s="2047"/>
      <c r="J24" s="2047"/>
      <c r="K24" s="2111"/>
      <c r="L24" s="749"/>
      <c r="M24" s="2033"/>
      <c r="N24" s="2086"/>
      <c r="O24" s="2085"/>
      <c r="P24" s="2086"/>
      <c r="Q24" s="2034"/>
      <c r="R24" s="2034"/>
      <c r="S24" s="2034"/>
      <c r="T24" s="2034"/>
      <c r="U24" s="2034"/>
      <c r="V24" s="2034"/>
    </row>
    <row r="25" spans="1:22" ht="24">
      <c r="A25" s="2112"/>
      <c r="B25" s="184" t="s">
        <v>1823</v>
      </c>
      <c r="C25" s="2985" t="s">
        <v>3129</v>
      </c>
      <c r="D25" s="2107" t="s">
        <v>1823</v>
      </c>
      <c r="E25" s="2113"/>
      <c r="F25" s="2106"/>
      <c r="G25" s="2047"/>
      <c r="H25" s="2047"/>
      <c r="I25" s="2047"/>
      <c r="J25" s="2047"/>
      <c r="K25" s="2056"/>
      <c r="L25" s="2033"/>
      <c r="M25" s="2033"/>
      <c r="N25" s="2086"/>
      <c r="O25" s="2085"/>
      <c r="P25" s="2086"/>
      <c r="Q25" s="2034"/>
      <c r="R25" s="2034"/>
      <c r="S25" s="2034"/>
      <c r="T25" s="2034"/>
      <c r="U25" s="2034"/>
      <c r="V25" s="2034"/>
    </row>
    <row r="26" spans="1:22" ht="18" customHeight="1" thickBot="1">
      <c r="A26" s="2114"/>
      <c r="B26" s="2115" t="s">
        <v>1824</v>
      </c>
      <c r="C26" s="2116" t="s">
        <v>3130</v>
      </c>
      <c r="D26" s="2117" t="s">
        <v>1825</v>
      </c>
      <c r="E26" s="2118"/>
      <c r="F26" s="2119"/>
      <c r="G26" s="2064"/>
      <c r="H26" s="2064"/>
      <c r="I26" s="2064"/>
      <c r="J26" s="2047"/>
      <c r="K26" s="2056"/>
      <c r="L26" s="2033"/>
      <c r="M26" s="2033"/>
      <c r="N26" s="2086"/>
      <c r="O26" s="2085"/>
      <c r="P26" s="2086"/>
      <c r="Q26" s="2034"/>
      <c r="R26" s="2034"/>
      <c r="S26" s="2034"/>
      <c r="T26" s="2034"/>
      <c r="U26" s="2034"/>
      <c r="V26" s="2034"/>
    </row>
    <row r="27" spans="1:22" ht="18" customHeight="1" thickTop="1">
      <c r="A27" s="3149" t="s">
        <v>1826</v>
      </c>
      <c r="B27" s="2065" t="s">
        <v>1827</v>
      </c>
      <c r="C27" s="2120" t="s">
        <v>3131</v>
      </c>
      <c r="D27" s="2121"/>
      <c r="E27" s="2047"/>
      <c r="F27" s="2047"/>
      <c r="G27" s="2047"/>
      <c r="H27" s="2047"/>
      <c r="I27" s="2047"/>
      <c r="J27" s="2034"/>
      <c r="K27" s="2084"/>
      <c r="L27" s="2085"/>
      <c r="M27" s="2085"/>
      <c r="N27" s="2086"/>
      <c r="O27" s="2085"/>
      <c r="P27" s="2086"/>
      <c r="Q27" s="2034"/>
      <c r="R27" s="2034"/>
      <c r="S27" s="2034"/>
      <c r="T27" s="2034"/>
      <c r="U27" s="2034"/>
      <c r="V27" s="2034"/>
    </row>
    <row r="28" spans="1:22" ht="18" customHeight="1">
      <c r="A28" s="3149"/>
      <c r="B28" s="2040" t="s">
        <v>1828</v>
      </c>
      <c r="C28" s="2122" t="s">
        <v>3132</v>
      </c>
      <c r="D28" s="2123"/>
      <c r="E28" s="2047"/>
      <c r="F28" s="2047"/>
      <c r="G28" s="2047"/>
      <c r="H28" s="2047"/>
      <c r="I28" s="2047"/>
      <c r="J28" s="2034"/>
      <c r="K28" s="2124"/>
      <c r="L28" s="2033"/>
      <c r="M28" s="2033"/>
      <c r="N28" s="2034"/>
      <c r="O28" s="2035"/>
      <c r="P28" s="2034"/>
      <c r="Q28" s="2034"/>
      <c r="R28" s="2034"/>
      <c r="S28" s="2034"/>
      <c r="T28" s="2034"/>
      <c r="U28" s="2034"/>
      <c r="V28" s="2034"/>
    </row>
    <row r="29" spans="1:22" ht="18" customHeight="1">
      <c r="A29" s="3149"/>
      <c r="B29" s="2040" t="s">
        <v>1829</v>
      </c>
      <c r="C29" s="2125" t="s">
        <v>3126</v>
      </c>
      <c r="D29" s="2126"/>
      <c r="E29" s="2047"/>
      <c r="F29" s="2047"/>
      <c r="G29" s="2047"/>
      <c r="H29" s="2047"/>
      <c r="I29" s="2047"/>
      <c r="J29" s="2034"/>
      <c r="K29" s="2124"/>
      <c r="L29" s="2033"/>
      <c r="M29" s="2033"/>
      <c r="N29" s="2034"/>
      <c r="O29" s="2035"/>
      <c r="P29" s="2034"/>
      <c r="Q29" s="2034"/>
      <c r="R29" s="2034"/>
      <c r="S29" s="2034"/>
      <c r="T29" s="2034"/>
      <c r="U29" s="2034"/>
      <c r="V29" s="2034"/>
    </row>
    <row r="30" spans="1:22" ht="18" customHeight="1">
      <c r="A30" s="3150"/>
      <c r="B30" s="2040" t="s">
        <v>1830</v>
      </c>
      <c r="C30" s="3151"/>
      <c r="D30" s="3152"/>
      <c r="E30" s="2047"/>
      <c r="F30" s="2047"/>
      <c r="G30" s="2047"/>
      <c r="H30" s="2047"/>
      <c r="I30" s="2047"/>
      <c r="J30" s="2034"/>
      <c r="K30" s="2124"/>
      <c r="L30" s="2033"/>
      <c r="M30" s="2033"/>
      <c r="N30" s="2034"/>
      <c r="O30" s="2035"/>
      <c r="P30" s="2034"/>
      <c r="Q30" s="2034"/>
      <c r="R30" s="2034"/>
      <c r="S30" s="2034"/>
      <c r="T30" s="2034"/>
      <c r="U30" s="2034"/>
      <c r="V30" s="2034"/>
    </row>
    <row r="31" spans="1:22" ht="18" customHeight="1">
      <c r="A31" s="3153" t="s">
        <v>1831</v>
      </c>
      <c r="B31" s="2127" t="s">
        <v>3133</v>
      </c>
      <c r="C31" s="2128" t="str">
        <f>IF(B31="现房","成新及维护状况正常否",IF(B31="在建","工程状态是否正常",IF(B31="土地","是否闲置","-")))</f>
        <v>成新及维护状况正常否</v>
      </c>
      <c r="D31" s="2129"/>
      <c r="E31" s="2986" t="s">
        <v>3134</v>
      </c>
      <c r="F31" s="2047"/>
      <c r="G31" s="2047"/>
      <c r="H31" s="2047"/>
      <c r="I31" s="2047"/>
      <c r="J31" s="2047"/>
      <c r="K31" s="2055"/>
      <c r="L31" s="2033"/>
      <c r="M31" s="2033"/>
      <c r="N31" s="2034"/>
      <c r="O31" s="2035"/>
      <c r="P31" s="2034"/>
      <c r="Q31" s="2034"/>
      <c r="R31" s="2034"/>
      <c r="S31" s="2034"/>
      <c r="T31" s="2034"/>
      <c r="U31" s="2034"/>
      <c r="V31" s="2034"/>
    </row>
    <row r="32" spans="1:22" ht="18" customHeight="1">
      <c r="A32" s="3154"/>
      <c r="B32" s="2127"/>
      <c r="C32" s="2128" t="str">
        <f>IF(B32="现房","成新及维护状况是否正常",IF(B32="在建","工程状态是否正常",IF(B32="土地","是否闲置","-")))</f>
        <v>-</v>
      </c>
      <c r="D32" s="2129"/>
      <c r="E32" s="2130"/>
      <c r="F32" s="2047"/>
      <c r="G32" s="2047"/>
      <c r="H32" s="2047"/>
      <c r="I32" s="2047"/>
      <c r="J32" s="2047"/>
      <c r="K32" s="2056"/>
      <c r="L32" s="2033"/>
      <c r="M32" s="2033"/>
      <c r="N32" s="2034"/>
      <c r="O32" s="2035"/>
      <c r="P32" s="2034"/>
      <c r="Q32" s="2034"/>
      <c r="R32" s="2034"/>
      <c r="S32" s="2034"/>
      <c r="T32" s="2034"/>
      <c r="U32" s="2034"/>
      <c r="V32" s="2034"/>
    </row>
    <row r="33" spans="1:22" ht="18" customHeight="1">
      <c r="A33" s="3154"/>
      <c r="B33" s="2131"/>
      <c r="C33" s="2072" t="str">
        <f>IF(B33="现房","成新及维护状况是否正常",IF(B33="在建","工程状态是否正常",IF(B33="土地","是否闲置","-")))</f>
        <v>-</v>
      </c>
      <c r="D33" s="2132"/>
      <c r="E33" s="2133"/>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1832</v>
      </c>
      <c r="B34" s="2134" t="s">
        <v>3135</v>
      </c>
      <c r="C34" s="2134" t="s">
        <v>3136</v>
      </c>
      <c r="D34" s="2134" t="s">
        <v>3137</v>
      </c>
      <c r="E34" s="2134" t="s">
        <v>3138</v>
      </c>
      <c r="F34" s="2134" t="s">
        <v>3139</v>
      </c>
      <c r="G34" s="2134" t="s">
        <v>3476</v>
      </c>
      <c r="H34" s="2134" t="s">
        <v>3477</v>
      </c>
      <c r="I34" s="2047"/>
      <c r="J34" s="2047"/>
      <c r="K34" s="1800">
        <f>COUNTIF(B34:H34,"——")</f>
        <v>0</v>
      </c>
      <c r="L34" s="2076" t="s">
        <v>1833</v>
      </c>
      <c r="M34" s="2076" t="s">
        <v>1834</v>
      </c>
      <c r="N34" s="2076" t="s">
        <v>1835</v>
      </c>
      <c r="O34" s="2076" t="s">
        <v>1836</v>
      </c>
      <c r="P34" s="2076" t="s">
        <v>1837</v>
      </c>
      <c r="Q34" s="2076" t="s">
        <v>1838</v>
      </c>
      <c r="R34" s="2076" t="s">
        <v>1839</v>
      </c>
      <c r="S34" s="3148" t="s">
        <v>1840</v>
      </c>
      <c r="T34" s="2135" t="str">
        <f>NUMBERSTRING(7-K34,1)&amp;"通"</f>
        <v>七通</v>
      </c>
      <c r="U34" s="2034"/>
      <c r="V34" s="2034"/>
    </row>
    <row r="35" spans="1:22" ht="18" customHeight="1">
      <c r="A35" s="2136"/>
      <c r="B35" s="3155" t="s">
        <v>1841</v>
      </c>
      <c r="C35" s="3155"/>
      <c r="D35" s="3155"/>
      <c r="E35" s="3155"/>
      <c r="F35" s="2137">
        <f>C10</f>
        <v>0</v>
      </c>
      <c r="G35" s="2047"/>
      <c r="H35" s="2047"/>
      <c r="I35" s="2047"/>
      <c r="J35" s="2047"/>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8"/>
      <c r="T35" s="48" t="str">
        <f>IF(T34="一通",L35,IF(T34="二通",M35,IF(T34="三通",N35,IF(T34="四通",O35,IF(T34="五通",P35,IF(T34="六通",Q35,R35))))))</f>
        <v>通路、通电、通讯、通上水、通下水、通热、燃气</v>
      </c>
      <c r="U35" s="2034"/>
      <c r="V35" s="2034"/>
    </row>
    <row r="36" spans="1:22" ht="18" customHeight="1">
      <c r="A36" s="2138"/>
      <c r="B36" s="2137" t="s">
        <v>1842</v>
      </c>
      <c r="C36" s="2137" t="s">
        <v>1843</v>
      </c>
      <c r="D36" s="2137" t="s">
        <v>1844</v>
      </c>
      <c r="E36" s="2137" t="s">
        <v>1845</v>
      </c>
      <c r="F36" s="2139"/>
      <c r="G36" s="2047"/>
      <c r="H36" s="2047"/>
      <c r="I36" s="2047"/>
      <c r="J36" s="2047"/>
      <c r="K36" s="2056"/>
      <c r="L36" s="2033"/>
      <c r="M36" s="2033"/>
      <c r="N36" s="2034"/>
      <c r="O36" s="2035"/>
      <c r="P36" s="2034"/>
      <c r="Q36" s="2034"/>
      <c r="R36" s="2034"/>
      <c r="S36" s="2034"/>
      <c r="T36" s="2034"/>
      <c r="U36" s="2034"/>
      <c r="V36" s="2034"/>
    </row>
    <row r="37" spans="1:22" ht="18" customHeight="1">
      <c r="A37" s="2140" t="s">
        <v>1846</v>
      </c>
      <c r="B37" s="2141" t="s">
        <v>442</v>
      </c>
      <c r="C37" s="2141" t="s">
        <v>442</v>
      </c>
      <c r="D37" s="2141"/>
      <c r="E37" s="2141"/>
      <c r="F37" s="2139"/>
      <c r="G37" s="2047"/>
      <c r="H37" s="2047"/>
      <c r="I37" s="2047"/>
      <c r="J37" s="2047"/>
      <c r="K37" s="2056"/>
      <c r="L37" s="2033"/>
      <c r="M37" s="2033"/>
      <c r="N37" s="2034"/>
      <c r="O37" s="2035"/>
      <c r="P37" s="2034"/>
      <c r="Q37" s="2034"/>
      <c r="R37" s="2034"/>
      <c r="S37" s="2034"/>
      <c r="T37" s="2034"/>
      <c r="U37" s="2034"/>
      <c r="V37" s="2034"/>
    </row>
    <row r="38" spans="1:22" ht="18" customHeight="1" thickBot="1">
      <c r="A38" s="2142" t="s">
        <v>1847</v>
      </c>
      <c r="B38" s="2143" t="s">
        <v>334</v>
      </c>
      <c r="C38" s="2143" t="s">
        <v>312</v>
      </c>
      <c r="D38" s="2143"/>
      <c r="E38" s="2143"/>
      <c r="F38" s="2144"/>
      <c r="G38" s="2064"/>
      <c r="H38" s="2064"/>
      <c r="I38" s="2064"/>
      <c r="J38" s="2047"/>
      <c r="K38" s="2056"/>
      <c r="L38" s="2033"/>
      <c r="M38" s="2033"/>
      <c r="N38" s="2034"/>
      <c r="O38" s="2035"/>
      <c r="P38" s="2034"/>
      <c r="Q38" s="2034"/>
      <c r="R38" s="2034"/>
      <c r="S38" s="2034"/>
      <c r="T38" s="2034"/>
      <c r="U38" s="2034"/>
      <c r="V38" s="2034"/>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4"/>
      <c r="B40" s="2034"/>
      <c r="C40" s="2034"/>
      <c r="D40" s="2034"/>
      <c r="E40" s="2034"/>
      <c r="F40" s="2034"/>
      <c r="G40" s="2034"/>
      <c r="H40" s="2034"/>
      <c r="I40" s="2150"/>
      <c r="J40" s="2086"/>
      <c r="K40" s="667"/>
      <c r="L40" s="2085"/>
      <c r="M40" s="2085"/>
      <c r="N40" s="2086"/>
      <c r="O40" s="2085"/>
      <c r="P40" s="2034"/>
      <c r="Q40" s="2034"/>
      <c r="R40" s="2034"/>
      <c r="S40" s="2034"/>
      <c r="T40" s="2034"/>
      <c r="U40" s="2034"/>
      <c r="V40" s="2034"/>
    </row>
    <row r="41" spans="1:22" ht="18" customHeight="1">
      <c r="A41" s="8" t="s">
        <v>1849</v>
      </c>
      <c r="B41" s="2151"/>
      <c r="C41" s="2152"/>
      <c r="D41" s="2034"/>
      <c r="E41" s="2034"/>
      <c r="F41" s="2034"/>
      <c r="G41" s="2034"/>
      <c r="H41" s="2034"/>
      <c r="I41" s="2035"/>
      <c r="J41" s="2034"/>
      <c r="K41" s="2124"/>
      <c r="L41" s="2033"/>
      <c r="M41" s="2033"/>
      <c r="N41" s="2034"/>
      <c r="O41" s="2035"/>
      <c r="P41" s="2034"/>
      <c r="Q41" s="2034"/>
      <c r="R41" s="2034"/>
      <c r="S41" s="2034"/>
      <c r="T41" s="2034"/>
      <c r="U41" s="2034"/>
      <c r="V41" s="2034"/>
    </row>
    <row r="42" spans="1:22" ht="18" customHeight="1">
      <c r="A42" s="2076" t="s">
        <v>1850</v>
      </c>
      <c r="B42" s="1800" t="s">
        <v>1851</v>
      </c>
      <c r="C42" s="1800" t="s">
        <v>1852</v>
      </c>
      <c r="D42" s="1800" t="s">
        <v>1853</v>
      </c>
      <c r="E42" s="1800" t="s">
        <v>1854</v>
      </c>
      <c r="F42" s="1800" t="s">
        <v>1855</v>
      </c>
      <c r="G42" s="1800" t="s">
        <v>1856</v>
      </c>
      <c r="H42" s="1800" t="s">
        <v>1857</v>
      </c>
      <c r="I42" s="1800" t="s">
        <v>1858</v>
      </c>
      <c r="J42" s="2153" t="s">
        <v>1859</v>
      </c>
      <c r="K42" s="2077" t="s">
        <v>1860</v>
      </c>
      <c r="L42" s="2077" t="s">
        <v>1861</v>
      </c>
      <c r="M42" s="2077" t="s">
        <v>1862</v>
      </c>
      <c r="N42" s="1800" t="s">
        <v>1863</v>
      </c>
      <c r="O42" s="1800" t="s">
        <v>1864</v>
      </c>
      <c r="P42" s="1800" t="s">
        <v>1865</v>
      </c>
      <c r="Q42" s="2076" t="s">
        <v>1866</v>
      </c>
      <c r="R42" s="2076" t="s">
        <v>1867</v>
      </c>
      <c r="S42" s="2034"/>
      <c r="T42" s="2034"/>
      <c r="U42" s="2034"/>
      <c r="V42" s="2034"/>
    </row>
    <row r="43" spans="1:22" s="2158" customFormat="1" ht="18" customHeight="1">
      <c r="A43" s="2154"/>
      <c r="B43" s="1276"/>
      <c r="C43" s="1276"/>
      <c r="D43" s="1276"/>
      <c r="E43" s="1276"/>
      <c r="F43" s="1276"/>
      <c r="G43" s="1276"/>
      <c r="H43" s="9"/>
      <c r="I43" s="9"/>
      <c r="J43" s="2155"/>
      <c r="K43" s="2156"/>
      <c r="L43" s="2156"/>
      <c r="M43" s="9"/>
      <c r="N43" s="1276"/>
      <c r="O43" s="9"/>
      <c r="P43" s="1276"/>
      <c r="Q43" s="1276"/>
      <c r="R43" s="1276"/>
      <c r="S43" s="2157"/>
      <c r="T43" s="2157"/>
      <c r="U43" s="2157"/>
      <c r="V43" s="2157"/>
    </row>
    <row r="44" spans="1:22" s="2158" customFormat="1" ht="18" customHeight="1">
      <c r="A44" s="2154"/>
      <c r="B44" s="2154"/>
      <c r="C44" s="1276"/>
      <c r="D44" s="1276"/>
      <c r="E44" s="1276"/>
      <c r="F44" s="1276"/>
      <c r="G44" s="1276"/>
      <c r="H44" s="9"/>
      <c r="I44" s="9"/>
      <c r="J44" s="2155"/>
      <c r="K44" s="2156"/>
      <c r="L44" s="2156"/>
      <c r="M44" s="9"/>
      <c r="N44" s="1276"/>
      <c r="O44" s="9"/>
      <c r="P44" s="1276"/>
      <c r="Q44" s="1276"/>
      <c r="R44" s="1276"/>
      <c r="S44" s="2157"/>
      <c r="T44" s="2157"/>
      <c r="U44" s="2157"/>
      <c r="V44" s="2157"/>
    </row>
    <row r="45" spans="1:22" s="2158" customFormat="1" ht="18" customHeight="1">
      <c r="A45" s="2154"/>
      <c r="B45" s="2154"/>
      <c r="C45" s="1276"/>
      <c r="D45" s="1276"/>
      <c r="E45" s="1276"/>
      <c r="F45" s="1276"/>
      <c r="G45" s="1276"/>
      <c r="H45" s="9"/>
      <c r="I45" s="9"/>
      <c r="J45" s="2155"/>
      <c r="K45" s="2156"/>
      <c r="L45" s="2156"/>
      <c r="M45" s="9"/>
      <c r="N45" s="1276"/>
      <c r="O45" s="9"/>
      <c r="P45" s="1276"/>
      <c r="Q45" s="1276"/>
      <c r="R45" s="1276"/>
      <c r="S45" s="2157"/>
      <c r="T45" s="2157"/>
      <c r="U45" s="2157"/>
      <c r="V45" s="2157"/>
    </row>
    <row r="46" spans="1:22" s="2158" customFormat="1" ht="18" customHeight="1">
      <c r="A46" s="2154"/>
      <c r="B46" s="2154"/>
      <c r="C46" s="1276"/>
      <c r="D46" s="1276"/>
      <c r="E46" s="1276"/>
      <c r="F46" s="1276"/>
      <c r="G46" s="1276"/>
      <c r="H46" s="9"/>
      <c r="I46" s="9"/>
      <c r="J46" s="2155"/>
      <c r="K46" s="2156"/>
      <c r="L46" s="2156"/>
      <c r="M46" s="9"/>
      <c r="N46" s="1276"/>
      <c r="O46" s="9"/>
      <c r="P46" s="1276"/>
      <c r="Q46" s="1276"/>
      <c r="R46" s="1276"/>
      <c r="S46" s="2157"/>
      <c r="T46" s="2157"/>
      <c r="U46" s="2157"/>
      <c r="V46" s="2157"/>
    </row>
    <row r="47" spans="1:22" s="2158" customFormat="1" ht="18" customHeight="1">
      <c r="A47" s="2154"/>
      <c r="B47" s="2154"/>
      <c r="C47" s="1276"/>
      <c r="D47" s="1276"/>
      <c r="E47" s="1276"/>
      <c r="F47" s="1276"/>
      <c r="G47" s="1276"/>
      <c r="H47" s="9"/>
      <c r="I47" s="9"/>
      <c r="J47" s="2155"/>
      <c r="K47" s="2156"/>
      <c r="L47" s="2156"/>
      <c r="M47" s="9"/>
      <c r="N47" s="1276"/>
      <c r="O47" s="9"/>
      <c r="P47" s="1276"/>
      <c r="Q47" s="1276"/>
      <c r="R47" s="1276"/>
      <c r="S47" s="2157"/>
      <c r="T47" s="2157"/>
      <c r="U47" s="2157"/>
      <c r="V47" s="2157"/>
    </row>
    <row r="48" spans="1:22" s="2158" customFormat="1" ht="18" customHeight="1">
      <c r="A48" s="2154"/>
      <c r="B48" s="2154"/>
      <c r="C48" s="1276"/>
      <c r="D48" s="1276"/>
      <c r="E48" s="1276"/>
      <c r="F48" s="1276"/>
      <c r="G48" s="1276"/>
      <c r="H48" s="9"/>
      <c r="I48" s="9"/>
      <c r="J48" s="2155"/>
      <c r="K48" s="2156"/>
      <c r="L48" s="2156"/>
      <c r="M48" s="9"/>
      <c r="N48" s="1276"/>
      <c r="O48" s="9"/>
      <c r="P48" s="1276"/>
      <c r="Q48" s="1276"/>
      <c r="R48" s="1276"/>
      <c r="S48" s="2157"/>
      <c r="T48" s="2157"/>
      <c r="U48" s="2157"/>
      <c r="V48" s="2157"/>
    </row>
    <row r="49" spans="1:22" s="2158" customFormat="1" ht="18" customHeight="1">
      <c r="A49" s="2154"/>
      <c r="B49" s="2154"/>
      <c r="C49" s="1276"/>
      <c r="D49" s="1276"/>
      <c r="E49" s="1276"/>
      <c r="F49" s="1276"/>
      <c r="G49" s="1276"/>
      <c r="H49" s="9"/>
      <c r="I49" s="9"/>
      <c r="J49" s="2155"/>
      <c r="K49" s="2156"/>
      <c r="L49" s="2156"/>
      <c r="M49" s="9"/>
      <c r="N49" s="1276"/>
      <c r="O49" s="9"/>
      <c r="P49" s="1276"/>
      <c r="Q49" s="1276"/>
      <c r="R49" s="1276"/>
      <c r="S49" s="2157"/>
      <c r="T49" s="2157"/>
      <c r="U49" s="2157"/>
      <c r="V49" s="2157"/>
    </row>
    <row r="50" spans="1:22" s="2158" customFormat="1" ht="18" customHeight="1">
      <c r="A50" s="2154"/>
      <c r="B50" s="2154"/>
      <c r="C50" s="1276"/>
      <c r="D50" s="1276"/>
      <c r="E50" s="1276"/>
      <c r="F50" s="1276"/>
      <c r="G50" s="1276"/>
      <c r="H50" s="9"/>
      <c r="I50" s="9"/>
      <c r="J50" s="2155"/>
      <c r="K50" s="2156"/>
      <c r="L50" s="2156"/>
      <c r="M50" s="9"/>
      <c r="N50" s="1276"/>
      <c r="O50" s="9"/>
      <c r="P50" s="1276"/>
      <c r="Q50" s="1276"/>
      <c r="R50" s="1276"/>
      <c r="S50" s="2157"/>
      <c r="T50" s="2157"/>
      <c r="U50" s="2157"/>
      <c r="V50" s="2157"/>
    </row>
    <row r="51" spans="1:22" s="2158" customFormat="1" ht="18" customHeight="1">
      <c r="A51" s="2154"/>
      <c r="B51" s="2154"/>
      <c r="C51" s="1276"/>
      <c r="D51" s="1276"/>
      <c r="E51" s="1276"/>
      <c r="F51" s="1276"/>
      <c r="G51" s="1276"/>
      <c r="H51" s="9"/>
      <c r="I51" s="9"/>
      <c r="J51" s="2155"/>
      <c r="K51" s="2156"/>
      <c r="L51" s="2156"/>
      <c r="M51" s="9"/>
      <c r="N51" s="1276"/>
      <c r="O51" s="9"/>
      <c r="P51" s="1276"/>
      <c r="Q51" s="1276"/>
      <c r="R51" s="1276"/>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7" sqref="E3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4" t="s">
        <v>1869</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3" t="s">
        <v>1873</v>
      </c>
      <c r="AZ2" s="1274"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15837.48</v>
      </c>
      <c r="B3" s="14">
        <f>IF(C3="否",G5-AT5,G5)</f>
        <v>107679.41</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5"/>
      <c r="AZ3" s="1276"/>
      <c r="BA3" s="1277"/>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8"/>
      <c r="C5" s="1808"/>
      <c r="D5" s="1811"/>
      <c r="E5" s="16" t="s">
        <v>1</v>
      </c>
      <c r="F5" s="16">
        <f>SUM(F13:F587)</f>
        <v>0</v>
      </c>
      <c r="G5" s="16">
        <f>SUM(G13:G587)</f>
        <v>107679.41</v>
      </c>
      <c r="H5" s="16">
        <f t="shared" ref="H5:AT5" si="0">SUM(H13:H656)</f>
        <v>103688.56000000001</v>
      </c>
      <c r="I5" s="16">
        <f t="shared" si="0"/>
        <v>19199.02</v>
      </c>
      <c r="J5" s="16">
        <f t="shared" si="0"/>
        <v>0</v>
      </c>
      <c r="K5" s="16">
        <f t="shared" si="0"/>
        <v>63306.74000000002</v>
      </c>
      <c r="L5" s="16">
        <f t="shared" si="0"/>
        <v>0</v>
      </c>
      <c r="M5" s="16">
        <f t="shared" si="0"/>
        <v>6958.0599999999995</v>
      </c>
      <c r="N5" s="16">
        <f t="shared" si="0"/>
        <v>0</v>
      </c>
      <c r="O5" s="16">
        <f t="shared" si="0"/>
        <v>14224.74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3990.85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3338.85</v>
      </c>
      <c r="AO5" s="16">
        <f t="shared" si="0"/>
        <v>0</v>
      </c>
      <c r="AP5" s="16">
        <f t="shared" si="0"/>
        <v>0</v>
      </c>
      <c r="AQ5" s="16">
        <f t="shared" si="0"/>
        <v>0</v>
      </c>
      <c r="AR5" s="16">
        <f t="shared" si="0"/>
        <v>0</v>
      </c>
      <c r="AS5" s="16">
        <f t="shared" si="0"/>
        <v>0</v>
      </c>
      <c r="AT5" s="16">
        <f t="shared" si="0"/>
        <v>0</v>
      </c>
      <c r="AU5" s="1807"/>
      <c r="AV5" s="15" t="s">
        <v>1877</v>
      </c>
      <c r="AW5" s="1808"/>
      <c r="AX5" s="1808"/>
      <c r="AY5" s="17" t="s">
        <v>3</v>
      </c>
      <c r="AZ5" s="18">
        <f t="shared" ref="AZ5:BT5" si="1">SUM(AZ13:AZ656)</f>
        <v>66448.330000000016</v>
      </c>
      <c r="BA5" s="18">
        <f t="shared" si="1"/>
        <v>66448.330000000016</v>
      </c>
      <c r="BB5" s="18">
        <f t="shared" si="1"/>
        <v>3141.59</v>
      </c>
      <c r="BC5" s="18">
        <f t="shared" si="1"/>
        <v>63306.74000000002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15837.479999999998</v>
      </c>
      <c r="F6" s="16" t="s">
        <v>1</v>
      </c>
      <c r="G6" s="16" t="s">
        <v>2</v>
      </c>
      <c r="H6" s="20">
        <f>SUMIF(I$12:AB$12,"总值",I6:AB6)</f>
        <v>15250.499999999998</v>
      </c>
      <c r="I6" s="16">
        <f t="shared" ref="I6:AB6" si="2">ROUND($A$3*I5/$B$3,2)</f>
        <v>2823.79</v>
      </c>
      <c r="J6" s="16">
        <f t="shared" si="2"/>
        <v>0</v>
      </c>
      <c r="K6" s="16">
        <f t="shared" si="2"/>
        <v>9311.15</v>
      </c>
      <c r="L6" s="16">
        <f t="shared" si="2"/>
        <v>0</v>
      </c>
      <c r="M6" s="16">
        <f t="shared" si="2"/>
        <v>1023.39</v>
      </c>
      <c r="N6" s="16">
        <f t="shared" si="2"/>
        <v>0</v>
      </c>
      <c r="O6" s="16">
        <f t="shared" si="2"/>
        <v>2092.17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586.98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95.9</v>
      </c>
      <c r="AM6" s="16">
        <f t="shared" si="3"/>
        <v>0</v>
      </c>
      <c r="AN6" s="16">
        <f t="shared" si="3"/>
        <v>491.08</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9773.2199999999993</v>
      </c>
      <c r="AZ6" s="16" t="s">
        <v>3</v>
      </c>
      <c r="BA6" s="16">
        <f>ROUND($AY$6*BA5/$AZ$5,2)</f>
        <v>9773.2199999999993</v>
      </c>
      <c r="BB6" s="16">
        <f>ROUND($AY$6*BB5/$AZ$5,2)</f>
        <v>462.07</v>
      </c>
      <c r="BC6" s="16">
        <f t="shared" ref="BC6:BH6" si="4">ROUND($AY$6*BC5/$AZ$5,2)</f>
        <v>9311.15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1" t="s">
        <v>1879</v>
      </c>
      <c r="B7" s="2111" t="s">
        <v>1880</v>
      </c>
      <c r="C7" s="2111" t="s">
        <v>1881</v>
      </c>
      <c r="D7" s="2111" t="s">
        <v>1882</v>
      </c>
      <c r="E7" s="2111" t="s">
        <v>1883</v>
      </c>
      <c r="F7" s="2111"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1"/>
      <c r="AU7" s="2180" t="s">
        <v>1886</v>
      </c>
      <c r="AV7" s="23" t="s">
        <v>1887</v>
      </c>
      <c r="AW7" s="2167" t="s">
        <v>1888</v>
      </c>
      <c r="AX7" s="23" t="s">
        <v>1881</v>
      </c>
      <c r="AY7" s="1808"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3"/>
      <c r="K8" s="1823"/>
      <c r="L8" s="1823"/>
      <c r="M8" s="1823"/>
      <c r="N8" s="1823"/>
      <c r="O8" s="1823"/>
      <c r="P8" s="1823"/>
      <c r="Q8" s="1823"/>
      <c r="R8" s="1823"/>
      <c r="S8" s="1823"/>
      <c r="T8" s="1823"/>
      <c r="U8" s="1823"/>
      <c r="V8" s="2187"/>
      <c r="W8" s="1823"/>
      <c r="X8" s="1823"/>
      <c r="Y8" s="1823"/>
      <c r="Z8" s="1823"/>
      <c r="AA8" s="2187"/>
      <c r="AB8" s="2188"/>
      <c r="AC8" s="985" t="s">
        <v>1892</v>
      </c>
      <c r="AD8" s="2189"/>
      <c r="AE8" s="2181"/>
      <c r="AF8" s="1823"/>
      <c r="AG8" s="1823"/>
      <c r="AH8" s="1823"/>
      <c r="AI8" s="1823"/>
      <c r="AJ8" s="1823"/>
      <c r="AK8" s="1823"/>
      <c r="AL8" s="1823"/>
      <c r="AM8" s="1823"/>
      <c r="AN8" s="1823"/>
      <c r="AO8" s="1823"/>
      <c r="AP8" s="1823"/>
      <c r="AQ8" s="1823"/>
      <c r="AR8" s="1823"/>
      <c r="AS8" s="1823"/>
      <c r="AT8" s="1296" t="s">
        <v>1893</v>
      </c>
      <c r="AU8" s="2183" t="s">
        <v>1894</v>
      </c>
      <c r="AV8" s="1296"/>
      <c r="AW8" s="2166"/>
      <c r="AX8" s="1296"/>
      <c r="AY8" s="2167" t="s">
        <v>1895</v>
      </c>
      <c r="AZ8" s="1822" t="s">
        <v>1896</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0" customFormat="1" ht="12.75">
      <c r="A9" s="2183"/>
      <c r="B9" s="2183"/>
      <c r="C9" s="2183"/>
      <c r="D9" s="2183"/>
      <c r="E9" s="2183"/>
      <c r="F9" s="2183"/>
      <c r="G9" s="1296"/>
      <c r="H9" s="2191" t="s">
        <v>1897</v>
      </c>
      <c r="I9" s="2192" t="s">
        <v>3043</v>
      </c>
      <c r="J9" s="985"/>
      <c r="K9" s="2192" t="s">
        <v>3043</v>
      </c>
      <c r="L9" s="985"/>
      <c r="M9" s="2192" t="s">
        <v>3046</v>
      </c>
      <c r="N9" s="985"/>
      <c r="O9" s="2192" t="s">
        <v>3046</v>
      </c>
      <c r="P9" s="985"/>
      <c r="Q9" s="2192"/>
      <c r="R9" s="985"/>
      <c r="S9" s="2192"/>
      <c r="T9" s="985"/>
      <c r="U9" s="2192"/>
      <c r="V9" s="985"/>
      <c r="W9" s="2192"/>
      <c r="X9" s="2193"/>
      <c r="Y9" s="2192"/>
      <c r="Z9" s="985"/>
      <c r="AA9" s="2192"/>
      <c r="AB9" s="985"/>
      <c r="AC9" s="2184" t="s">
        <v>1897</v>
      </c>
      <c r="AD9" s="15" t="s">
        <v>1898</v>
      </c>
      <c r="AE9" s="1302"/>
      <c r="AF9" s="15" t="s">
        <v>1899</v>
      </c>
      <c r="AG9" s="1302"/>
      <c r="AH9" s="15" t="s">
        <v>1898</v>
      </c>
      <c r="AI9" s="1302"/>
      <c r="AJ9" s="15" t="s">
        <v>1899</v>
      </c>
      <c r="AK9" s="1302"/>
      <c r="AL9" s="15" t="s">
        <v>1898</v>
      </c>
      <c r="AM9" s="1302"/>
      <c r="AN9" s="15" t="s">
        <v>1899</v>
      </c>
      <c r="AO9" s="1302"/>
      <c r="AP9" s="15" t="s">
        <v>1898</v>
      </c>
      <c r="AQ9" s="1302"/>
      <c r="AR9" s="15" t="s">
        <v>1899</v>
      </c>
      <c r="AS9" s="2194"/>
      <c r="AT9" s="2183"/>
      <c r="AU9" s="2183" t="s">
        <v>1900</v>
      </c>
      <c r="AV9" s="1296"/>
      <c r="AW9" s="2166"/>
      <c r="AX9" s="1296"/>
      <c r="AY9" s="28"/>
      <c r="AZ9" s="28" t="s">
        <v>1890</v>
      </c>
      <c r="BA9" s="2195" t="s">
        <v>1901</v>
      </c>
      <c r="BB9" s="2196"/>
      <c r="BC9" s="1342"/>
      <c r="BD9" s="1342"/>
      <c r="BE9" s="1342"/>
      <c r="BF9" s="1342"/>
      <c r="BG9" s="1342"/>
      <c r="BH9" s="1342"/>
      <c r="BI9" s="1342"/>
      <c r="BJ9" s="1342"/>
      <c r="BK9" s="2197"/>
      <c r="BL9" s="15" t="s">
        <v>1902</v>
      </c>
      <c r="BM9" s="1823"/>
      <c r="BN9" s="2186"/>
      <c r="BO9" s="1823"/>
      <c r="BP9" s="1823"/>
      <c r="BQ9" s="1823"/>
      <c r="BR9" s="1823"/>
      <c r="BS9" s="1823"/>
      <c r="BT9" s="26"/>
    </row>
    <row r="10" spans="1:72" s="2190" customFormat="1" ht="12.75">
      <c r="A10" s="2183"/>
      <c r="B10" s="2183"/>
      <c r="C10" s="2183"/>
      <c r="D10" s="2183"/>
      <c r="E10" s="2183"/>
      <c r="F10" s="2183"/>
      <c r="G10" s="1296"/>
      <c r="H10" s="28"/>
      <c r="I10" s="2192" t="s">
        <v>1378</v>
      </c>
      <c r="J10" s="985"/>
      <c r="K10" s="2198" t="s">
        <v>27</v>
      </c>
      <c r="L10" s="985"/>
      <c r="M10" s="2198" t="s">
        <v>3048</v>
      </c>
      <c r="N10" s="985"/>
      <c r="O10" s="2198" t="s">
        <v>1378</v>
      </c>
      <c r="P10" s="985"/>
      <c r="Q10" s="2198"/>
      <c r="R10" s="985"/>
      <c r="S10" s="2198"/>
      <c r="T10" s="985"/>
      <c r="U10" s="2198"/>
      <c r="V10" s="985"/>
      <c r="W10" s="2198"/>
      <c r="X10" s="985"/>
      <c r="Y10" s="2198"/>
      <c r="Z10" s="985"/>
      <c r="AA10" s="2198"/>
      <c r="AB10" s="985"/>
      <c r="AC10" s="1296"/>
      <c r="AD10" s="15" t="s">
        <v>1903</v>
      </c>
      <c r="AE10" s="2199"/>
      <c r="AF10" s="15" t="s">
        <v>1903</v>
      </c>
      <c r="AG10" s="2199"/>
      <c r="AH10" s="15" t="s">
        <v>1904</v>
      </c>
      <c r="AI10" s="2199"/>
      <c r="AJ10" s="15" t="s">
        <v>1904</v>
      </c>
      <c r="AK10" s="2199"/>
      <c r="AL10" s="15" t="s">
        <v>1905</v>
      </c>
      <c r="AM10" s="1302"/>
      <c r="AN10" s="15" t="s">
        <v>1905</v>
      </c>
      <c r="AO10" s="1302"/>
      <c r="AP10" s="15" t="s">
        <v>1906</v>
      </c>
      <c r="AQ10" s="1302"/>
      <c r="AR10" s="15" t="s">
        <v>1906</v>
      </c>
      <c r="AS10" s="1302"/>
      <c r="AT10" s="2183"/>
      <c r="AU10" s="2183"/>
      <c r="AV10" s="1296"/>
      <c r="AW10" s="2166"/>
      <c r="AX10" s="1296"/>
      <c r="AY10" s="28"/>
      <c r="AZ10" s="28"/>
      <c r="BA10" s="2200" t="s">
        <v>1897</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1897</v>
      </c>
      <c r="BM10" s="1822" t="str">
        <f>AD9</f>
        <v>地上</v>
      </c>
      <c r="BN10" s="29" t="str">
        <f>AF9</f>
        <v>地下</v>
      </c>
      <c r="BO10" s="1822" t="str">
        <f>AH9</f>
        <v>地上</v>
      </c>
      <c r="BP10" s="29" t="str">
        <f>AJ9</f>
        <v>地下</v>
      </c>
      <c r="BQ10" s="1822" t="str">
        <f>AL9</f>
        <v>地上</v>
      </c>
      <c r="BR10" s="29" t="str">
        <f>AN9</f>
        <v>地下</v>
      </c>
      <c r="BS10" s="1822" t="str">
        <f>AP9</f>
        <v>地上</v>
      </c>
      <c r="BT10" s="2202" t="str">
        <f>AR9</f>
        <v>地下</v>
      </c>
    </row>
    <row r="11" spans="1:72" s="2190" customFormat="1" ht="12.75">
      <c r="A11" s="2183"/>
      <c r="B11" s="2183"/>
      <c r="C11" s="2183"/>
      <c r="D11" s="2183"/>
      <c r="E11" s="2183"/>
      <c r="F11" s="2183"/>
      <c r="G11" s="1296"/>
      <c r="H11" s="2200"/>
      <c r="I11" s="2203" t="s">
        <v>3044</v>
      </c>
      <c r="J11" s="2204"/>
      <c r="K11" s="2203" t="s">
        <v>3045</v>
      </c>
      <c r="L11" s="2204"/>
      <c r="M11" s="2203" t="s">
        <v>3047</v>
      </c>
      <c r="N11" s="2204"/>
      <c r="O11" s="2203" t="s">
        <v>3044</v>
      </c>
      <c r="P11" s="2204"/>
      <c r="Q11" s="2203"/>
      <c r="R11" s="2204"/>
      <c r="S11" s="2203"/>
      <c r="T11" s="2204"/>
      <c r="U11" s="2203"/>
      <c r="V11" s="2204"/>
      <c r="W11" s="2203"/>
      <c r="X11" s="2204"/>
      <c r="Y11" s="2203"/>
      <c r="Z11" s="2204"/>
      <c r="AA11" s="2203"/>
      <c r="AB11" s="2204"/>
      <c r="AC11" s="1296"/>
      <c r="AD11" s="2205" t="s">
        <v>1907</v>
      </c>
      <c r="AE11" s="1824"/>
      <c r="AF11" s="2205" t="s">
        <v>1907</v>
      </c>
      <c r="AG11" s="1824"/>
      <c r="AH11" s="2205" t="s">
        <v>1908</v>
      </c>
      <c r="AI11" s="2206"/>
      <c r="AJ11" s="2205" t="s">
        <v>1908</v>
      </c>
      <c r="AK11" s="1824"/>
      <c r="AL11" s="1822"/>
      <c r="AM11" s="1824"/>
      <c r="AN11" s="1822"/>
      <c r="AO11" s="1824"/>
      <c r="AP11" s="1822"/>
      <c r="AQ11" s="1824"/>
      <c r="AR11" s="1822"/>
      <c r="AS11" s="1824"/>
      <c r="AT11" s="2166"/>
      <c r="AU11" s="2183"/>
      <c r="AV11" s="1296"/>
      <c r="AW11" s="2166"/>
      <c r="AX11" s="1296"/>
      <c r="AY11" s="28"/>
      <c r="AZ11" s="28"/>
      <c r="BA11" s="28"/>
      <c r="BB11" s="2188" t="str">
        <f>I10</f>
        <v>商业</v>
      </c>
      <c r="BC11" s="2188" t="str">
        <f>K10</f>
        <v>办公</v>
      </c>
      <c r="BD11" s="2188" t="str">
        <f>M10</f>
        <v>车库—商业</v>
      </c>
      <c r="BE11" s="2188" t="str">
        <f>O10</f>
        <v>商业</v>
      </c>
      <c r="BF11" s="2188">
        <f>Q10</f>
        <v>0</v>
      </c>
      <c r="BG11" s="2188">
        <f>S10</f>
        <v>0</v>
      </c>
      <c r="BH11" s="2188">
        <f>U10</f>
        <v>0</v>
      </c>
      <c r="BI11" s="2188">
        <f>W10</f>
        <v>0</v>
      </c>
      <c r="BJ11" s="2188">
        <f>Y10</f>
        <v>0</v>
      </c>
      <c r="BK11" s="2188">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7" t="s">
        <v>1910</v>
      </c>
      <c r="W12" s="11" t="s">
        <v>1909</v>
      </c>
      <c r="X12" s="11" t="s">
        <v>1910</v>
      </c>
      <c r="Y12" s="11" t="s">
        <v>1909</v>
      </c>
      <c r="Z12" s="11" t="s">
        <v>1910</v>
      </c>
      <c r="AA12" s="11" t="s">
        <v>1909</v>
      </c>
      <c r="AB12" s="11" t="s">
        <v>1910</v>
      </c>
      <c r="AC12" s="2210"/>
      <c r="AD12" s="181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独立商业</v>
      </c>
      <c r="BC12" s="2213" t="str">
        <f>K11</f>
        <v>办公楼</v>
      </c>
      <c r="BD12" s="2213" t="str">
        <f>M11</f>
        <v>车库</v>
      </c>
      <c r="BE12" s="2188" t="str">
        <f>O11</f>
        <v>独立商业</v>
      </c>
      <c r="BF12" s="2188">
        <f>Q11</f>
        <v>0</v>
      </c>
      <c r="BG12" s="2188">
        <f>S11</f>
        <v>0</v>
      </c>
      <c r="BH12" s="2188">
        <f>U11</f>
        <v>0</v>
      </c>
      <c r="BI12" s="2188">
        <f>W11</f>
        <v>0</v>
      </c>
      <c r="BJ12" s="2188">
        <f>Y11</f>
        <v>0</v>
      </c>
      <c r="BK12" s="2188">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7">
        <f>AR11</f>
        <v>0</v>
      </c>
    </row>
    <row r="13" spans="1:72" s="2168" customFormat="1" ht="12.75">
      <c r="A13" s="1276"/>
      <c r="B13" s="1276"/>
      <c r="C13" s="1276" t="s">
        <v>3326</v>
      </c>
      <c r="D13" s="2214" t="s">
        <v>3042</v>
      </c>
      <c r="E13" s="16">
        <f>IF($C$3="是",ROUND($A$3*G13/$B$3,2),ROUND($A$3*(G13-AT13)/$B$3,2))</f>
        <v>9773.2199999999993</v>
      </c>
      <c r="F13" s="32"/>
      <c r="G13" s="33">
        <f>H13+AC13+AT13</f>
        <v>66448.330000000016</v>
      </c>
      <c r="H13" s="20">
        <f>SUMIF(I$12:AB$12,"总值",I13:AB13)</f>
        <v>66448.330000000016</v>
      </c>
      <c r="I13" s="2215">
        <f>面积!C4+面积!C45</f>
        <v>3141.59</v>
      </c>
      <c r="J13" s="2215"/>
      <c r="K13" s="2215">
        <f>面积!C5+面积!C6+面积!C7+面积!C8+面积!C9+面积!C10+面积!C11+面积!C12+面积!C13+面积!C14+面积!C15+面积!C16+面积!C17+面积!C18+面积!C19+面积!C20+面积!C21+面积!C22+面积!C23+面积!C24+面积!C25+面积!C26+面积!C27+面积!C46+面积!C47+面积!C48+面积!C49+面积!C50+面积!C51+面积!C52+面积!C53+面积!C54+面积!C55+面积!C56+面积!C57+面积!C58+面积!C59+面积!C60+面积!C61+面积!C62+面积!C63+面积!C64+面积!C65+面积!C66+面积!C67+面积!C68</f>
        <v>63306.74000000002</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20、24</v>
      </c>
      <c r="AY13" s="1811">
        <f>ROUND($AY$6*AZ13/$AZ$5,2)</f>
        <v>9773.2199999999993</v>
      </c>
      <c r="AZ13" s="16">
        <f>BA13+BL13</f>
        <v>66448.330000000016</v>
      </c>
      <c r="BA13" s="16">
        <f>SUM(BB13:BK13)</f>
        <v>66448.330000000016</v>
      </c>
      <c r="BB13" s="16">
        <f>IF($D13="是",I13-J13,0)</f>
        <v>3141.59</v>
      </c>
      <c r="BC13" s="16">
        <f>IF($D13="是",K13-L13,0)</f>
        <v>63306.74000000002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6"/>
      <c r="B14" s="1276"/>
      <c r="C14" s="2154">
        <v>20</v>
      </c>
      <c r="D14" s="2214" t="s">
        <v>3126</v>
      </c>
      <c r="E14" s="16">
        <f>IF($C$3="是",ROUND($A$3*G14/$B$3,2),ROUND($A$3*(G14-AT14)/$B$3,2))</f>
        <v>6064.26</v>
      </c>
      <c r="F14" s="32"/>
      <c r="G14" s="33">
        <f>H14+AC14+AT14</f>
        <v>41231.079999999994</v>
      </c>
      <c r="H14" s="20">
        <f>SUMIF(I$12:AB$12,"总值",I14:AB14)</f>
        <v>37240.229999999996</v>
      </c>
      <c r="I14" s="2215">
        <f>面积!C38+面积!C39+面积!C40+面积!I28</f>
        <v>16057.43</v>
      </c>
      <c r="J14" s="2215"/>
      <c r="K14" s="2215"/>
      <c r="L14" s="2215"/>
      <c r="M14" s="2215">
        <f>面积!C35+面积!C37</f>
        <v>6958.0599999999995</v>
      </c>
      <c r="N14" s="2215"/>
      <c r="O14" s="2215">
        <f>面积!C34+面积!C36+面积!I31</f>
        <v>14224.74</v>
      </c>
      <c r="P14" s="2215"/>
      <c r="Q14" s="2215"/>
      <c r="R14" s="2215"/>
      <c r="S14" s="2215"/>
      <c r="T14" s="2215"/>
      <c r="U14" s="2215"/>
      <c r="V14" s="2215"/>
      <c r="W14" s="2215"/>
      <c r="X14" s="2215"/>
      <c r="Y14" s="2215"/>
      <c r="Z14" s="2215"/>
      <c r="AA14" s="2215"/>
      <c r="AB14" s="2215"/>
      <c r="AC14" s="16">
        <f>SUMIF(AD$12:AS$12,"总值",AD14:AS14)</f>
        <v>3990.85</v>
      </c>
      <c r="AD14" s="2216"/>
      <c r="AE14" s="2216"/>
      <c r="AF14" s="2216"/>
      <c r="AG14" s="2216"/>
      <c r="AH14" s="2216"/>
      <c r="AI14" s="2216"/>
      <c r="AJ14" s="2216"/>
      <c r="AK14" s="2216"/>
      <c r="AL14" s="2216">
        <f>面积!I29+面积!I30</f>
        <v>652</v>
      </c>
      <c r="AM14" s="2216"/>
      <c r="AN14" s="2216">
        <f>面积!C32+面积!C33+面积!I32+面积!I33</f>
        <v>3338.85</v>
      </c>
      <c r="AO14" s="2216"/>
      <c r="AP14" s="2216"/>
      <c r="AQ14" s="2216"/>
      <c r="AR14" s="2216"/>
      <c r="AS14" s="2216"/>
      <c r="AT14" s="2217"/>
      <c r="AU14" s="2218"/>
      <c r="AV14" s="11">
        <f t="shared" si="6"/>
        <v>0</v>
      </c>
      <c r="AW14" s="11">
        <f t="shared" si="6"/>
        <v>0</v>
      </c>
      <c r="AX14" s="11">
        <f t="shared" si="6"/>
        <v>20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6"/>
      <c r="B15" s="1276"/>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6"/>
      <c r="B16" s="1276"/>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6"/>
      <c r="B17" s="1276"/>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9" sqref="E19:E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6"/>
      <c r="C1" s="1396"/>
      <c r="D1" s="1396"/>
      <c r="E1" s="1396"/>
      <c r="F1" s="1396"/>
      <c r="G1" s="1396"/>
      <c r="H1" s="1396"/>
      <c r="I1" s="1396"/>
      <c r="J1" s="1396"/>
      <c r="K1" s="1396"/>
      <c r="L1" s="1396"/>
      <c r="M1" s="1396"/>
      <c r="N1" s="1396"/>
      <c r="O1" s="1396"/>
      <c r="P1" s="1396"/>
    </row>
    <row r="2" spans="1:16" ht="15">
      <c r="A2" s="3189" t="s">
        <v>1937</v>
      </c>
      <c r="B2" s="3189"/>
      <c r="C2" s="3189"/>
      <c r="D2" s="971" t="s">
        <v>1913</v>
      </c>
      <c r="E2" s="2228" t="s">
        <v>1914</v>
      </c>
      <c r="F2" s="1396"/>
      <c r="G2" s="2229"/>
      <c r="H2" s="2230"/>
      <c r="I2" s="2231" t="s">
        <v>1938</v>
      </c>
      <c r="J2" s="1396"/>
      <c r="K2" s="1396"/>
      <c r="L2" s="1396"/>
      <c r="M2" s="1396"/>
      <c r="N2" s="1431"/>
      <c r="O2" s="1396"/>
      <c r="P2" s="1396"/>
    </row>
    <row r="3" spans="1:16" ht="15.75" thickBot="1">
      <c r="A3" s="3190" t="s">
        <v>1911</v>
      </c>
      <c r="B3" s="3190"/>
      <c r="C3" s="3190"/>
      <c r="D3" s="46">
        <f>'数据-基础表'!AY6</f>
        <v>9773.2199999999993</v>
      </c>
      <c r="E3" s="46">
        <f>'数据-基础表'!AZ5</f>
        <v>66448.330000000016</v>
      </c>
      <c r="F3" s="1396"/>
      <c r="G3" s="1403"/>
      <c r="H3" s="1251" t="s">
        <v>1912</v>
      </c>
      <c r="I3" s="55">
        <f>ROUND('数据-基础表'!B3/'数据-基础表'!A3,2)</f>
        <v>6.8</v>
      </c>
      <c r="J3" s="1396"/>
      <c r="K3" s="1396"/>
      <c r="L3" s="1396"/>
      <c r="M3" s="1396"/>
      <c r="N3" s="1431"/>
      <c r="O3" s="1396"/>
      <c r="P3" s="1396"/>
    </row>
    <row r="4" spans="1:16" ht="15">
      <c r="A4" s="3191"/>
      <c r="B4" s="3192"/>
      <c r="C4" s="3193"/>
      <c r="D4" s="2232" t="s">
        <v>1913</v>
      </c>
      <c r="E4" s="2233" t="s">
        <v>1914</v>
      </c>
      <c r="F4" s="1396"/>
      <c r="G4" s="2234" t="s">
        <v>1939</v>
      </c>
      <c r="H4" s="1251" t="s">
        <v>1919</v>
      </c>
      <c r="I4" s="55">
        <f>ROUND(SUMIF('数据-基础表'!I9:AS9,"地上",'数据-基础表'!I5:AS5)/'数据-基础表'!A3,2)</f>
        <v>5.25</v>
      </c>
      <c r="J4" s="1396"/>
      <c r="K4" s="1396"/>
      <c r="L4" s="1396"/>
      <c r="M4" s="1396"/>
      <c r="N4" s="1431"/>
      <c r="O4" s="1396"/>
      <c r="P4" s="1396"/>
    </row>
    <row r="5" spans="1:16">
      <c r="A5" s="47" t="s">
        <v>1915</v>
      </c>
      <c r="B5" s="3194" t="s">
        <v>1916</v>
      </c>
      <c r="C5" s="3194"/>
      <c r="D5" s="48">
        <f>ROUND($D$3*E5/$E$3,2)</f>
        <v>0</v>
      </c>
      <c r="E5" s="49">
        <f>SUMIF('数据-基础表'!$11:$11,"住宅",'数据-基础表'!$5:$5)</f>
        <v>0</v>
      </c>
      <c r="F5" s="1396"/>
      <c r="G5" s="1403"/>
      <c r="H5" s="1251" t="s">
        <v>1912</v>
      </c>
      <c r="I5" s="55">
        <f>ROUND(E31/D31,2)</f>
        <v>6.8</v>
      </c>
      <c r="J5" s="1396"/>
      <c r="K5" s="1396"/>
      <c r="L5" s="1396"/>
      <c r="M5" s="1396"/>
      <c r="N5" s="1396"/>
      <c r="O5" s="1396"/>
      <c r="P5" s="1396"/>
    </row>
    <row r="6" spans="1:16" ht="15" thickBot="1">
      <c r="A6" s="2235"/>
      <c r="B6" s="3194" t="s">
        <v>1917</v>
      </c>
      <c r="C6" s="3194"/>
      <c r="D6" s="48">
        <f>ROUND($D$3*E6/$E$3,2)</f>
        <v>9773.2199999999993</v>
      </c>
      <c r="E6" s="49">
        <f>E3-E5</f>
        <v>66448.330000000016</v>
      </c>
      <c r="F6" s="1396"/>
      <c r="G6" s="2236" t="s">
        <v>1918</v>
      </c>
      <c r="H6" s="1403" t="s">
        <v>1919</v>
      </c>
      <c r="I6" s="943">
        <f>ROUND(F31/D31,2)</f>
        <v>6.8</v>
      </c>
      <c r="J6" s="1396"/>
      <c r="K6" s="1396"/>
      <c r="L6" s="1396"/>
      <c r="M6" s="1396"/>
      <c r="N6" s="1396"/>
      <c r="O6" s="1396"/>
      <c r="P6" s="1396"/>
    </row>
    <row r="7" spans="1:16" ht="15">
      <c r="A7" s="3186"/>
      <c r="B7" s="3187"/>
      <c r="C7" s="3188"/>
      <c r="D7" s="2232" t="s">
        <v>1913</v>
      </c>
      <c r="E7" s="2237" t="s">
        <v>1920</v>
      </c>
      <c r="F7" s="1396"/>
      <c r="G7" s="2229" t="s">
        <v>1921</v>
      </c>
      <c r="H7" s="64"/>
      <c r="I7" s="421"/>
      <c r="J7" s="1396"/>
      <c r="K7" s="1396"/>
      <c r="L7" s="1396"/>
      <c r="M7" s="1396"/>
      <c r="N7" s="1396"/>
      <c r="O7" s="1396"/>
      <c r="P7" s="1396"/>
    </row>
    <row r="8" spans="1:16">
      <c r="A8" s="47" t="s">
        <v>1922</v>
      </c>
      <c r="B8" s="50" t="s">
        <v>1923</v>
      </c>
      <c r="C8" s="48" t="s">
        <v>1924</v>
      </c>
      <c r="D8" s="48">
        <f t="shared" ref="D8:D15" si="0">ROUND($D$3*E8/$E$3,2)</f>
        <v>9773.2199999999993</v>
      </c>
      <c r="E8" s="51">
        <f>SUMIF('数据-基础表'!BB10:BK10,"地上",'数据-基础表'!BB5:BK5)</f>
        <v>66448.330000000016</v>
      </c>
      <c r="F8" s="1396"/>
      <c r="G8" s="2238"/>
      <c r="H8" s="2238"/>
      <c r="I8" s="1396"/>
      <c r="J8" s="1396"/>
      <c r="K8" s="1396"/>
      <c r="L8" s="1396"/>
      <c r="M8" s="1396"/>
      <c r="N8" s="1396"/>
      <c r="O8" s="1396"/>
      <c r="P8" s="1396"/>
    </row>
    <row r="9" spans="1:16">
      <c r="A9" s="2239"/>
      <c r="B9" s="2240"/>
      <c r="C9" s="48" t="s">
        <v>1925</v>
      </c>
      <c r="D9" s="48">
        <f t="shared" si="0"/>
        <v>0</v>
      </c>
      <c r="E9" s="52">
        <v>0</v>
      </c>
      <c r="F9" s="1396"/>
      <c r="G9" s="2238"/>
      <c r="H9" s="2238"/>
      <c r="I9" s="1396"/>
      <c r="J9" s="1396"/>
      <c r="K9" s="1396"/>
      <c r="L9" s="1396"/>
      <c r="M9" s="1396"/>
      <c r="N9" s="1396"/>
      <c r="O9" s="1396"/>
      <c r="P9" s="1396"/>
    </row>
    <row r="10" spans="1:16">
      <c r="A10" s="2239"/>
      <c r="B10" s="2240"/>
      <c r="C10" s="48" t="s">
        <v>1934</v>
      </c>
      <c r="D10" s="48">
        <f t="shared" si="0"/>
        <v>0</v>
      </c>
      <c r="E10" s="51">
        <f>SUMPRODUCT(('数据-基础表'!BB10:BK10="地下")*('数据-基础表'!BB11:BK11="商业")*('数据-基础表'!BB5:BK5))</f>
        <v>0</v>
      </c>
      <c r="F10" s="1396"/>
      <c r="G10" s="2238"/>
      <c r="H10" s="2238"/>
      <c r="I10" s="1396"/>
      <c r="J10" s="1396"/>
      <c r="K10" s="1396"/>
      <c r="L10" s="1396"/>
      <c r="M10" s="1396"/>
      <c r="N10" s="1396"/>
      <c r="O10" s="1396"/>
      <c r="P10" s="1396"/>
    </row>
    <row r="11" spans="1:16">
      <c r="A11" s="2239"/>
      <c r="B11" s="2240"/>
      <c r="C11" s="48" t="s">
        <v>1926</v>
      </c>
      <c r="D11" s="48">
        <f t="shared" si="0"/>
        <v>0</v>
      </c>
      <c r="E11" s="51">
        <f>SUMPRODUCT(('数据-基础表'!BB10:BK10="地下")*('数据-基础表'!BB11:BK11="办公")*('数据-基础表'!BB5:BK5))+'数据-基础表'!BP5</f>
        <v>0</v>
      </c>
      <c r="F11" s="1396"/>
      <c r="G11" s="2238"/>
      <c r="H11" s="2238"/>
      <c r="I11" s="1396"/>
      <c r="J11" s="1396"/>
      <c r="K11" s="1396"/>
      <c r="L11" s="1396"/>
      <c r="M11" s="1396"/>
      <c r="N11" s="1396"/>
      <c r="O11" s="1396"/>
      <c r="P11" s="1396"/>
    </row>
    <row r="12" spans="1:16">
      <c r="A12" s="2239"/>
      <c r="B12" s="2240"/>
      <c r="C12" s="48" t="s">
        <v>1927</v>
      </c>
      <c r="D12" s="48">
        <f t="shared" si="0"/>
        <v>0</v>
      </c>
      <c r="E12" s="51">
        <f>SUMPRODUCT(('数据-基础表'!BB10:BK10="地下")*('数据-基础表'!BB11:BK11="仓储")*('数据-基础表'!BB5:BK5))</f>
        <v>0</v>
      </c>
      <c r="F12" s="1396"/>
      <c r="G12" s="2238"/>
      <c r="H12" s="2238"/>
      <c r="I12" s="1396"/>
      <c r="J12" s="1396"/>
      <c r="K12" s="1396"/>
      <c r="L12" s="1396"/>
      <c r="M12" s="1396"/>
      <c r="N12" s="1396"/>
      <c r="O12" s="1396"/>
      <c r="P12" s="1396"/>
    </row>
    <row r="13" spans="1:16">
      <c r="A13" s="2239"/>
      <c r="B13" s="2240"/>
      <c r="C13" s="48" t="s">
        <v>1928</v>
      </c>
      <c r="D13" s="48">
        <f t="shared" si="0"/>
        <v>0</v>
      </c>
      <c r="E13" s="51">
        <f>SUMPRODUCT(('数据-基础表'!BB10:BK10="地下")*('数据-基础表'!BB11:BK11="车库")*('数据-基础表'!BB5:BK5))</f>
        <v>0</v>
      </c>
      <c r="F13" s="1396"/>
      <c r="G13" s="2238"/>
      <c r="H13" s="2238"/>
      <c r="I13" s="1396"/>
      <c r="J13" s="1396"/>
      <c r="K13" s="1396"/>
      <c r="L13" s="1396"/>
      <c r="M13" s="1396"/>
      <c r="N13" s="1396"/>
      <c r="O13" s="1396"/>
      <c r="P13" s="1396"/>
    </row>
    <row r="14" spans="1:16">
      <c r="A14" s="2239"/>
      <c r="B14" s="2240"/>
      <c r="C14" s="48" t="s">
        <v>1940</v>
      </c>
      <c r="D14" s="48">
        <f t="shared" si="0"/>
        <v>0</v>
      </c>
      <c r="E14" s="51">
        <f>SUMPRODUCT(('数据-基础表'!BB10:BK10="地下")*('数据-基础表'!BB11:BK11="车库—商业")*('数据-基础表'!BB5:BK5))</f>
        <v>0</v>
      </c>
      <c r="F14" s="1396"/>
      <c r="G14" s="2238"/>
      <c r="H14" s="2238"/>
      <c r="I14" s="1396"/>
      <c r="J14" s="1396"/>
      <c r="K14" s="1396"/>
      <c r="L14" s="1396"/>
      <c r="M14" s="1396"/>
      <c r="N14" s="1396"/>
      <c r="O14" s="1396"/>
      <c r="P14" s="1396"/>
    </row>
    <row r="15" spans="1:16" ht="15" thickBot="1">
      <c r="A15" s="2239"/>
      <c r="B15" s="2240"/>
      <c r="C15" s="48" t="s">
        <v>1935</v>
      </c>
      <c r="D15" s="48">
        <f t="shared" si="0"/>
        <v>0</v>
      </c>
      <c r="E15" s="51">
        <f>SUMPRODUCT(('数据-基础表'!BB10:BK10="地下")*('数据-基础表'!BB11:BK11="车库—办公")*('数据-基础表'!BB5:BK5))</f>
        <v>0</v>
      </c>
      <c r="F15" s="1396"/>
      <c r="G15" s="2238"/>
      <c r="H15" s="2238"/>
      <c r="I15" s="1396"/>
      <c r="J15" s="1396"/>
      <c r="K15" s="1396"/>
      <c r="L15" s="1396"/>
      <c r="M15" s="1396"/>
      <c r="N15" s="1396"/>
      <c r="O15" s="1396"/>
      <c r="P15" s="1396"/>
    </row>
    <row r="16" spans="1:16" ht="15.75" thickBot="1">
      <c r="A16" s="2235"/>
      <c r="B16" s="2240"/>
      <c r="C16" s="50" t="s">
        <v>1929</v>
      </c>
      <c r="D16" s="50">
        <f>SUM(D8:D15)</f>
        <v>9773.2199999999993</v>
      </c>
      <c r="E16" s="53">
        <f>SUM(E8:E15)</f>
        <v>66448.330000000016</v>
      </c>
      <c r="F16" s="1396"/>
      <c r="G16" s="2238"/>
      <c r="H16" s="2241" t="s">
        <v>1941</v>
      </c>
      <c r="I16" s="2242"/>
      <c r="J16" s="1396"/>
      <c r="K16" s="3183" t="s">
        <v>1941</v>
      </c>
      <c r="L16" s="3184"/>
      <c r="M16" s="3184"/>
      <c r="N16" s="3184"/>
      <c r="O16" s="3184"/>
      <c r="P16" s="3185"/>
    </row>
    <row r="17" spans="1:19" ht="15">
      <c r="A17" s="2243" t="s">
        <v>1942</v>
      </c>
      <c r="B17" s="2244" t="s">
        <v>1943</v>
      </c>
      <c r="C17" s="2245" t="s">
        <v>1944</v>
      </c>
      <c r="D17" s="2246" t="s">
        <v>1932</v>
      </c>
      <c r="E17" s="2247" t="s">
        <v>1933</v>
      </c>
      <c r="F17" s="2248"/>
      <c r="G17" s="2249"/>
      <c r="H17" s="2250" t="s">
        <v>1945</v>
      </c>
      <c r="I17" s="2251" t="s">
        <v>1930</v>
      </c>
      <c r="J17" s="1396"/>
      <c r="K17" s="3180" t="s">
        <v>1946</v>
      </c>
      <c r="L17" s="3181"/>
      <c r="M17" s="3182"/>
      <c r="N17" s="3180" t="s">
        <v>1947</v>
      </c>
      <c r="O17" s="3181"/>
      <c r="P17" s="3182"/>
      <c r="R17" s="2229" t="s">
        <v>1948</v>
      </c>
      <c r="S17" s="64"/>
    </row>
    <row r="18" spans="1:19" ht="15">
      <c r="A18" s="2239"/>
      <c r="B18" s="2252"/>
      <c r="C18" s="2253"/>
      <c r="D18" s="2254"/>
      <c r="E18" s="2255" t="s">
        <v>1949</v>
      </c>
      <c r="F18" s="2256" t="s">
        <v>1950</v>
      </c>
      <c r="G18" s="2257" t="s">
        <v>1951</v>
      </c>
      <c r="H18" s="1266" t="s">
        <v>1952</v>
      </c>
      <c r="I18" s="2258" t="s">
        <v>1953</v>
      </c>
      <c r="J18" s="1396"/>
      <c r="K18" s="1266" t="s">
        <v>1954</v>
      </c>
      <c r="L18" s="2259" t="s">
        <v>1955</v>
      </c>
      <c r="M18" s="1050" t="s">
        <v>1956</v>
      </c>
      <c r="N18" s="1266" t="s">
        <v>1954</v>
      </c>
      <c r="O18" s="2259" t="s">
        <v>1955</v>
      </c>
      <c r="P18" s="1050" t="s">
        <v>1956</v>
      </c>
      <c r="R18" s="1251" t="s">
        <v>1957</v>
      </c>
      <c r="S18" s="1251" t="s">
        <v>1958</v>
      </c>
    </row>
    <row r="19" spans="1:19">
      <c r="A19" s="2260"/>
      <c r="B19" s="50" t="s">
        <v>1931</v>
      </c>
      <c r="C19" s="2938" t="s">
        <v>3455</v>
      </c>
      <c r="D19" s="48">
        <f>ROUND($D$3*E19/$E$3,2)</f>
        <v>5515.79</v>
      </c>
      <c r="E19" s="56">
        <f t="shared" ref="E19:E26" si="1">SUM(F19:G19)</f>
        <v>37501.99</v>
      </c>
      <c r="F19" s="57">
        <f>租约!B70</f>
        <v>37501.99</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1"/>
      <c r="O19" s="2262"/>
      <c r="P19" s="1407">
        <f>N19+O19</f>
        <v>0</v>
      </c>
      <c r="R19" s="1251">
        <f t="shared" ref="R19:S26" si="5">D19+H19</f>
        <v>5515.79</v>
      </c>
      <c r="S19" s="1252">
        <f t="shared" si="5"/>
        <v>37501.99</v>
      </c>
    </row>
    <row r="20" spans="1:19">
      <c r="A20" s="2263"/>
      <c r="B20" s="50" t="s">
        <v>1959</v>
      </c>
      <c r="C20" s="2938" t="s">
        <v>3456</v>
      </c>
      <c r="D20" s="48">
        <f t="shared" ref="D20:D26" si="6">ROUND($D$3*E20/$E$3,2)</f>
        <v>3795.36</v>
      </c>
      <c r="E20" s="56">
        <f t="shared" si="1"/>
        <v>25804.750000000022</v>
      </c>
      <c r="F20" s="57">
        <f>'数据-基础表'!K13-'数据-汇总表'!F19</f>
        <v>25804.750000000022</v>
      </c>
      <c r="G20" s="58"/>
      <c r="H20" s="724">
        <f t="shared" ref="H20:H26" si="7">ROUND($D$3*I20/$E$3,2)</f>
        <v>0</v>
      </c>
      <c r="I20" s="51">
        <f t="shared" si="2"/>
        <v>0</v>
      </c>
      <c r="J20" s="1396"/>
      <c r="K20" s="1395">
        <f t="shared" si="3"/>
        <v>0</v>
      </c>
      <c r="L20" s="1251">
        <f t="shared" si="4"/>
        <v>0</v>
      </c>
      <c r="M20" s="1407">
        <f t="shared" ref="M20:M26" si="8">K20+L20</f>
        <v>0</v>
      </c>
      <c r="N20" s="2261"/>
      <c r="O20" s="2262"/>
      <c r="P20" s="1407">
        <f t="shared" ref="P20:P26" si="9">N20+O20</f>
        <v>0</v>
      </c>
      <c r="R20" s="1251">
        <f t="shared" si="5"/>
        <v>3795.36</v>
      </c>
      <c r="S20" s="1252">
        <f t="shared" si="5"/>
        <v>25804.750000000022</v>
      </c>
    </row>
    <row r="21" spans="1:19">
      <c r="A21" s="2263"/>
      <c r="B21" s="50" t="s">
        <v>1959</v>
      </c>
      <c r="C21" s="2938" t="s">
        <v>3457</v>
      </c>
      <c r="D21" s="48">
        <f t="shared" si="6"/>
        <v>73.540000000000006</v>
      </c>
      <c r="E21" s="56">
        <f t="shared" si="1"/>
        <v>500</v>
      </c>
      <c r="F21" s="57">
        <f>租约!P6</f>
        <v>500</v>
      </c>
      <c r="G21" s="58"/>
      <c r="H21" s="724">
        <f t="shared" si="7"/>
        <v>0</v>
      </c>
      <c r="I21" s="51">
        <f t="shared" si="2"/>
        <v>0</v>
      </c>
      <c r="J21" s="1396"/>
      <c r="K21" s="1395">
        <f t="shared" si="3"/>
        <v>0</v>
      </c>
      <c r="L21" s="1251">
        <f t="shared" si="4"/>
        <v>0</v>
      </c>
      <c r="M21" s="1407">
        <f t="shared" si="8"/>
        <v>0</v>
      </c>
      <c r="N21" s="2261"/>
      <c r="O21" s="2262"/>
      <c r="P21" s="1407">
        <f t="shared" si="9"/>
        <v>0</v>
      </c>
      <c r="R21" s="1251">
        <f t="shared" si="5"/>
        <v>73.540000000000006</v>
      </c>
      <c r="S21" s="1252">
        <f t="shared" si="5"/>
        <v>500</v>
      </c>
    </row>
    <row r="22" spans="1:19">
      <c r="A22" s="2263"/>
      <c r="B22" s="50" t="s">
        <v>1959</v>
      </c>
      <c r="C22" s="3004" t="s">
        <v>3458</v>
      </c>
      <c r="D22" s="48">
        <f t="shared" si="6"/>
        <v>388.53</v>
      </c>
      <c r="E22" s="56">
        <f t="shared" si="1"/>
        <v>2641.59</v>
      </c>
      <c r="F22" s="61">
        <f>'数据-基础表'!I13-'数据-汇总表'!F21</f>
        <v>2641.59</v>
      </c>
      <c r="G22" s="62"/>
      <c r="H22" s="724">
        <f t="shared" si="7"/>
        <v>0</v>
      </c>
      <c r="I22" s="51">
        <f t="shared" si="2"/>
        <v>0</v>
      </c>
      <c r="J22" s="1396"/>
      <c r="K22" s="1395">
        <f t="shared" si="3"/>
        <v>0</v>
      </c>
      <c r="L22" s="1251">
        <f t="shared" si="4"/>
        <v>0</v>
      </c>
      <c r="M22" s="1407">
        <f t="shared" si="8"/>
        <v>0</v>
      </c>
      <c r="N22" s="2261"/>
      <c r="O22" s="2262"/>
      <c r="P22" s="1407">
        <f t="shared" si="9"/>
        <v>0</v>
      </c>
      <c r="R22" s="1251">
        <f t="shared" si="5"/>
        <v>388.53</v>
      </c>
      <c r="S22" s="1252">
        <f t="shared" si="5"/>
        <v>2641.59</v>
      </c>
    </row>
    <row r="23" spans="1:19">
      <c r="A23" s="2263"/>
      <c r="B23" s="50" t="s">
        <v>1959</v>
      </c>
      <c r="C23" s="3004"/>
      <c r="D23" s="48">
        <f>ROUND($D$3*E23/$E$3,2)</f>
        <v>0</v>
      </c>
      <c r="E23" s="56">
        <f>SUM(F23:G23)</f>
        <v>0</v>
      </c>
      <c r="F23" s="61"/>
      <c r="G23" s="62"/>
      <c r="H23" s="724">
        <f>ROUND($D$3*I23/$E$3,2)</f>
        <v>0</v>
      </c>
      <c r="I23" s="51">
        <f t="shared" si="2"/>
        <v>0</v>
      </c>
      <c r="J23" s="1396"/>
      <c r="K23" s="1395">
        <f t="shared" si="3"/>
        <v>0</v>
      </c>
      <c r="L23" s="1251">
        <f t="shared" si="4"/>
        <v>0</v>
      </c>
      <c r="M23" s="1407">
        <f t="shared" si="8"/>
        <v>0</v>
      </c>
      <c r="N23" s="2261"/>
      <c r="O23" s="2262"/>
      <c r="P23" s="1407">
        <f t="shared" si="9"/>
        <v>0</v>
      </c>
      <c r="R23" s="1251">
        <f t="shared" si="5"/>
        <v>0</v>
      </c>
      <c r="S23" s="1252">
        <f t="shared" si="5"/>
        <v>0</v>
      </c>
    </row>
    <row r="24" spans="1:19">
      <c r="A24" s="2263"/>
      <c r="B24" s="50" t="s">
        <v>1959</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1"/>
      <c r="O24" s="2262"/>
      <c r="P24" s="1407">
        <f t="shared" si="9"/>
        <v>0</v>
      </c>
      <c r="R24" s="1251">
        <f t="shared" si="5"/>
        <v>0</v>
      </c>
      <c r="S24" s="1252">
        <f t="shared" si="5"/>
        <v>0</v>
      </c>
    </row>
    <row r="25" spans="1:19">
      <c r="A25" s="2263"/>
      <c r="B25" s="50" t="s">
        <v>1959</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1"/>
      <c r="O25" s="2262"/>
      <c r="P25" s="1407">
        <f t="shared" si="9"/>
        <v>0</v>
      </c>
      <c r="R25" s="1251">
        <f t="shared" si="5"/>
        <v>0</v>
      </c>
      <c r="S25" s="1252">
        <f t="shared" si="5"/>
        <v>0</v>
      </c>
    </row>
    <row r="26" spans="1:19">
      <c r="A26" s="2263"/>
      <c r="B26" s="50" t="s">
        <v>1959</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4"/>
      <c r="O26" s="2265"/>
      <c r="P26" s="67">
        <f t="shared" si="9"/>
        <v>0</v>
      </c>
      <c r="R26" s="1251">
        <f t="shared" si="5"/>
        <v>0</v>
      </c>
      <c r="S26" s="1252">
        <f t="shared" si="5"/>
        <v>0</v>
      </c>
    </row>
    <row r="27" spans="1:19" ht="15.75" thickBot="1">
      <c r="A27" s="2263"/>
      <c r="B27" s="48"/>
      <c r="C27" s="2266" t="s">
        <v>1960</v>
      </c>
      <c r="D27" s="1397">
        <f>SUM(D19:D26)</f>
        <v>9773.2200000000012</v>
      </c>
      <c r="E27" s="1398">
        <f>IF(SUM(E19:E26)='数据-基础表'!BA5,SUM(E19:E26),IF(F27="地上面积有误","面积有误","地下面积有误"))</f>
        <v>66448.330000000016</v>
      </c>
      <c r="F27" s="1397">
        <f>IF(SUM(F19:F26)=E8,SUM(F19:F26),"地上面积有误")</f>
        <v>66448.330000000016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9773.2200000000012</v>
      </c>
      <c r="S27" s="1251">
        <f>IF(SUM(S19:S26)=$E$3,SUM(S19:S26),SUM(S19:S26)&amp;"误差"&amp;ROUND(SUM(S19:S26)-E3,2))</f>
        <v>66448.330000000016</v>
      </c>
    </row>
    <row r="28" spans="1:19">
      <c r="A28" s="2263"/>
      <c r="B28" s="50" t="s">
        <v>1961</v>
      </c>
      <c r="C28" s="1263" t="s">
        <v>1962</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3"/>
      <c r="B29" s="50" t="s">
        <v>1961</v>
      </c>
      <c r="C29" s="2267" t="s">
        <v>1963</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3"/>
      <c r="B30" s="50"/>
      <c r="C30" s="2268" t="s">
        <v>1960</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69"/>
      <c r="B31" s="2270"/>
      <c r="C31" s="1011" t="s">
        <v>1964</v>
      </c>
      <c r="D31" s="730">
        <f>D27+D30</f>
        <v>9773.2200000000012</v>
      </c>
      <c r="E31" s="730">
        <f>E27+E30</f>
        <v>66448.330000000016</v>
      </c>
      <c r="F31" s="731">
        <f>F27+F30</f>
        <v>66448.330000000016</v>
      </c>
      <c r="G31" s="732">
        <f>G27+G30</f>
        <v>0</v>
      </c>
      <c r="H31" s="1396"/>
      <c r="I31" s="1396"/>
      <c r="J31" s="1396"/>
      <c r="K31" s="1396"/>
      <c r="L31" s="1396"/>
      <c r="M31" s="1396"/>
      <c r="N31" s="1396"/>
      <c r="O31" s="1396"/>
      <c r="P31" s="1396"/>
    </row>
    <row r="32" spans="1:19">
      <c r="A32" s="2234"/>
      <c r="B32" s="2234" t="s">
        <v>1965</v>
      </c>
      <c r="C32" s="2234"/>
      <c r="D32" s="2234"/>
      <c r="E32" s="1278">
        <f>SUMIF(C19:C26,"*住宅*",E19:E26)</f>
        <v>0</v>
      </c>
      <c r="F32" s="2234"/>
      <c r="G32" s="2234"/>
      <c r="H32" s="1396"/>
      <c r="I32" s="1396"/>
      <c r="J32" s="1396"/>
      <c r="K32" s="1396"/>
      <c r="L32" s="1396"/>
      <c r="M32" s="1396"/>
      <c r="N32" s="1396"/>
      <c r="O32" s="1396"/>
      <c r="P32" s="1396"/>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1966</v>
      </c>
      <c r="B1" s="733"/>
      <c r="C1" s="1586"/>
      <c r="D1" s="2273"/>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6" t="s">
        <v>1967</v>
      </c>
      <c r="B2" s="1270">
        <f>项目基本情况!D3</f>
        <v>43104</v>
      </c>
      <c r="C2" s="2277"/>
      <c r="D2" s="2278"/>
      <c r="E2" s="2277"/>
      <c r="F2" s="2277"/>
      <c r="G2" s="2277"/>
      <c r="H2" s="2277"/>
      <c r="I2" s="2277"/>
      <c r="J2" s="2277"/>
      <c r="K2" s="1431"/>
      <c r="L2" s="1431"/>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6" customFormat="1" ht="15" thickBot="1">
      <c r="A3" s="2034"/>
      <c r="B3" s="2280"/>
      <c r="C3" s="2277"/>
      <c r="D3" s="2278"/>
      <c r="E3" s="2277"/>
      <c r="F3" s="2277"/>
      <c r="G3" s="2277"/>
      <c r="H3" s="2277"/>
      <c r="I3" s="2277"/>
      <c r="J3" s="2277"/>
      <c r="K3" s="1431"/>
      <c r="L3" s="1431"/>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6" customFormat="1" ht="15" thickBot="1">
      <c r="A4" s="68" t="s">
        <v>1968</v>
      </c>
      <c r="B4" s="2281"/>
      <c r="C4" s="2282"/>
      <c r="D4" s="2283"/>
      <c r="E4" s="2282" t="s">
        <v>1969</v>
      </c>
      <c r="F4" s="2282"/>
      <c r="G4" s="2282"/>
      <c r="H4" s="2282"/>
      <c r="I4" s="2282"/>
      <c r="J4" s="2284"/>
      <c r="K4" s="2285"/>
      <c r="L4" s="2286"/>
      <c r="M4" s="2282"/>
      <c r="N4" s="2282" t="s">
        <v>1970</v>
      </c>
      <c r="O4" s="2282"/>
      <c r="P4" s="2282"/>
      <c r="Q4" s="2282"/>
      <c r="R4" s="2282"/>
      <c r="S4" s="2284"/>
      <c r="T4" s="2287" t="str">
        <f>'数据-汇总表'!I17</f>
        <v>按面积比例</v>
      </c>
      <c r="U4" s="2281" t="s">
        <v>1971</v>
      </c>
      <c r="V4" s="2282"/>
      <c r="W4" s="2282"/>
      <c r="X4" s="2282"/>
      <c r="Y4" s="2284"/>
      <c r="Z4" s="2245" t="s">
        <v>1972</v>
      </c>
      <c r="AA4" s="2245"/>
      <c r="AB4" s="2245"/>
      <c r="AC4" s="2245"/>
      <c r="AD4" s="2245"/>
      <c r="AE4" s="2243" t="s">
        <v>1973</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7" customFormat="1" ht="42">
      <c r="A5" s="2289" t="s">
        <v>1974</v>
      </c>
      <c r="B5" s="2290" t="s">
        <v>1975</v>
      </c>
      <c r="C5" s="2291" t="s">
        <v>1976</v>
      </c>
      <c r="D5" s="2292" t="s">
        <v>1977</v>
      </c>
      <c r="E5" s="1272" t="s">
        <v>1978</v>
      </c>
      <c r="F5" s="2293" t="s">
        <v>1979</v>
      </c>
      <c r="G5" s="1272" t="s">
        <v>1980</v>
      </c>
      <c r="H5" s="1272" t="s">
        <v>1981</v>
      </c>
      <c r="I5" s="1272" t="s">
        <v>1982</v>
      </c>
      <c r="J5" s="2294" t="s">
        <v>1983</v>
      </c>
      <c r="K5" s="2295" t="s">
        <v>1984</v>
      </c>
      <c r="L5" s="2296" t="s">
        <v>1985</v>
      </c>
      <c r="M5" s="2297" t="s">
        <v>1986</v>
      </c>
      <c r="N5" s="2298" t="s">
        <v>3049</v>
      </c>
      <c r="O5" s="2296" t="s">
        <v>1987</v>
      </c>
      <c r="P5" s="2299" t="s">
        <v>1988</v>
      </c>
      <c r="Q5" s="69" t="s">
        <v>1989</v>
      </c>
      <c r="R5" s="2300" t="s">
        <v>1990</v>
      </c>
      <c r="S5" s="2301" t="s">
        <v>1991</v>
      </c>
      <c r="T5" s="2302" t="s">
        <v>1992</v>
      </c>
      <c r="U5" s="1271" t="s">
        <v>1993</v>
      </c>
      <c r="V5" s="1272" t="s">
        <v>1994</v>
      </c>
      <c r="W5" s="1272" t="s">
        <v>1995</v>
      </c>
      <c r="X5" s="71"/>
      <c r="Y5" s="70" t="s">
        <v>1996</v>
      </c>
      <c r="Z5" s="2303" t="s">
        <v>1993</v>
      </c>
      <c r="AA5" s="1272" t="s">
        <v>1994</v>
      </c>
      <c r="AB5" s="1272" t="s">
        <v>1995</v>
      </c>
      <c r="AC5" s="71"/>
      <c r="AD5" s="71" t="s">
        <v>1996</v>
      </c>
      <c r="AE5" s="1271" t="s">
        <v>1997</v>
      </c>
      <c r="AF5" s="1272" t="s">
        <v>1998</v>
      </c>
      <c r="AG5" s="70" t="s">
        <v>1999</v>
      </c>
      <c r="AH5" s="1271" t="s">
        <v>2000</v>
      </c>
      <c r="AI5" s="2303" t="s">
        <v>2001</v>
      </c>
      <c r="AJ5" s="2303" t="s">
        <v>2002</v>
      </c>
      <c r="AK5" s="1272" t="s">
        <v>2003</v>
      </c>
      <c r="AL5" s="1272" t="s">
        <v>2004</v>
      </c>
      <c r="AM5" s="70" t="s">
        <v>2005</v>
      </c>
      <c r="AN5" s="2304" t="s">
        <v>2006</v>
      </c>
      <c r="AO5" s="2076" t="s">
        <v>2007</v>
      </c>
      <c r="AP5" s="1253" t="s">
        <v>2008</v>
      </c>
      <c r="AQ5" s="2305" t="s">
        <v>2009</v>
      </c>
      <c r="AR5" s="2305"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6" customFormat="1" ht="14.25">
      <c r="A6" s="2306" t="str">
        <f>'数据-汇总表'!C19</f>
        <v>已出租办公</v>
      </c>
      <c r="B6" s="2307" t="str">
        <f>IF(A6=0,"","经营性")</f>
        <v>经营性</v>
      </c>
      <c r="C6" s="2308" t="s">
        <v>27</v>
      </c>
      <c r="D6" s="1055">
        <f>SUMIF(项目基本情况!D$12:I$12,C6,项目基本情况!D$14:I$14)</f>
        <v>50</v>
      </c>
      <c r="E6" s="1052">
        <f>IF(B6="","",SUMIF(项目基本情况!D$12:I$12,C6,项目基本情况!D$13:I$13))</f>
        <v>56203</v>
      </c>
      <c r="F6" s="72">
        <f>SUMIF(项目基本情况!D$12:I$12,C6,项目基本情况!D$15:I$15)</f>
        <v>35.880000000000003</v>
      </c>
      <c r="G6" s="73">
        <f>IF(ISERROR(ROUND(POWER(1+H6,D6-F6)*(POWER(1+H6,F6)-1)/(POWER(1+H6,D6)-1),3)),0,ROUND(POWER(1+H6,D6-F6)*(POWER(1+H6,F6)-1)/(POWER(1+H6,D6)-1),3))</f>
        <v>0.90500000000000003</v>
      </c>
      <c r="H6" s="803">
        <v>0.05</v>
      </c>
      <c r="I6" s="803">
        <v>5.5E-2</v>
      </c>
      <c r="J6" s="74">
        <v>8.5000000000000006E-2</v>
      </c>
      <c r="K6" s="1255">
        <f>SUMIF('数据-汇总表'!C$19:C$33,A6,'数据-汇总表'!E$19:E$33)</f>
        <v>37501.99</v>
      </c>
      <c r="L6" s="804">
        <v>3500</v>
      </c>
      <c r="M6" s="75">
        <f t="shared" ref="M6:M14" si="0">ROUND(K6*L6/10000,0)</f>
        <v>13126</v>
      </c>
      <c r="N6" s="802">
        <f>ROUND(((1-(2018-2008)/60)+90%)/2,2)</f>
        <v>0.87</v>
      </c>
      <c r="O6" s="75" t="str">
        <f>IF($N$5="成新度","——",ROUND(M6*N6,0))</f>
        <v>——</v>
      </c>
      <c r="P6" s="76" t="str">
        <f>IF($N$5="成新度","——",M6-O6)</f>
        <v>——</v>
      </c>
      <c r="Q6" s="805">
        <v>0.25</v>
      </c>
      <c r="R6" s="77">
        <f ca="1">SUMIF('数据-汇总表'!C$19:C$33,A6,'数据-汇总表'!R$19:R$27)</f>
        <v>5515.79</v>
      </c>
      <c r="S6" s="54">
        <f>IF('数据-汇总表'!$I$17="按面积比例",SUMIF('数据-汇总表'!C$19:C$33,A6,'数据-汇总表'!K$19:K$33),SUMIF('数据-汇总表'!C$19:C$33,A6,'数据-汇总表'!N$19:N$33))</f>
        <v>0</v>
      </c>
      <c r="T6" s="1447">
        <f>ROUND($L$14*S6/10000,0)</f>
        <v>0</v>
      </c>
      <c r="U6" s="78">
        <f>租约!B71</f>
        <v>8.85</v>
      </c>
      <c r="V6" s="79">
        <v>0</v>
      </c>
      <c r="W6" s="79">
        <v>0</v>
      </c>
      <c r="X6" s="1265"/>
      <c r="Y6" s="80">
        <f>N6</f>
        <v>0.87</v>
      </c>
      <c r="Z6" s="81">
        <f>市场租金!D3</f>
        <v>9.1300000000000008</v>
      </c>
      <c r="AA6" s="74">
        <f>市场租金!B4</f>
        <v>0.03</v>
      </c>
      <c r="AB6" s="74">
        <f>市场租金!D4</f>
        <v>0.1</v>
      </c>
      <c r="AC6" s="1265"/>
      <c r="AD6" s="82">
        <f>ROUND(((1-(2020-2008)/60)+90%)/2,2)</f>
        <v>0.85</v>
      </c>
      <c r="AE6" s="1266">
        <f ca="1">IF(AN6="",0,SUMIF(INDIRECT("'"&amp;AN6&amp;"'"&amp;"!E:E"),$AE$5,INDIRECT("'"&amp;AN6&amp;"'"&amp;"!F:F")))</f>
        <v>35.880000000000003</v>
      </c>
      <c r="AF6" s="1809">
        <f>市场租金!B5</f>
        <v>2.82</v>
      </c>
      <c r="AG6" s="147">
        <f ca="1">IF(AF6="",0,AE6-AF6)</f>
        <v>33.06</v>
      </c>
      <c r="AH6" s="83"/>
      <c r="AI6" s="85">
        <v>365</v>
      </c>
      <c r="AJ6" s="86"/>
      <c r="AK6" s="87">
        <v>0.02</v>
      </c>
      <c r="AL6" s="88">
        <v>2E-3</v>
      </c>
      <c r="AM6" s="89">
        <v>0.02</v>
      </c>
      <c r="AN6" s="2309" t="s">
        <v>3348</v>
      </c>
      <c r="AO6" s="55">
        <f ca="1">SUMIF(INDIRECT("'"&amp;AN6&amp;"'"&amp;"!A:A"),"总价",INDIRECT("'"&amp;AN6&amp;"'"&amp;"!B:B"))</f>
        <v>211405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6" customFormat="1" ht="14.25">
      <c r="A7" s="2306" t="str">
        <f>'数据-汇总表'!C20</f>
        <v>未出租办公</v>
      </c>
      <c r="B7" s="2307" t="str">
        <f t="shared" ref="B7:B13" si="1">IF(A7=0,"","经营性")</f>
        <v>经营性</v>
      </c>
      <c r="C7" s="2308" t="s">
        <v>27</v>
      </c>
      <c r="D7" s="1055">
        <f>SUMIF(项目基本情况!D$12:I$12,C7,项目基本情况!D$14:I$14)</f>
        <v>50</v>
      </c>
      <c r="E7" s="1052">
        <f>IF(B7="","",SUMIF(项目基本情况!D$12:I$12,C7,项目基本情况!D$13:I$13))</f>
        <v>56203</v>
      </c>
      <c r="F7" s="72">
        <f>SUMIF(项目基本情况!D$12:I$12,C7,项目基本情况!D$15:I$15)</f>
        <v>35.880000000000003</v>
      </c>
      <c r="G7" s="73">
        <f t="shared" ref="G7:G11" si="2">IF(ISERROR(ROUND(POWER(1+H7,D7-F7)*(POWER(1+H7,F7)-1)/(POWER(1+H7,D7)-1),3)),0,ROUND(POWER(1+H7,D7-F7)*(POWER(1+H7,F7)-1)/(POWER(1+H7,D7)-1),3))</f>
        <v>0.90500000000000003</v>
      </c>
      <c r="H7" s="803">
        <v>0.05</v>
      </c>
      <c r="I7" s="803">
        <v>5.5E-2</v>
      </c>
      <c r="J7" s="74">
        <v>8.5000000000000006E-2</v>
      </c>
      <c r="K7" s="1255">
        <f>SUMIF('数据-汇总表'!C$19:C$33,A7,'数据-汇总表'!E$19:E$33)</f>
        <v>25804.750000000022</v>
      </c>
      <c r="L7" s="804">
        <v>3500</v>
      </c>
      <c r="M7" s="75">
        <f t="shared" si="0"/>
        <v>9032</v>
      </c>
      <c r="N7" s="802">
        <f t="shared" ref="N7:N9" si="3">ROUND(((1-(2018-2008)/60)+90%)/2,2)</f>
        <v>0.87</v>
      </c>
      <c r="O7" s="75" t="str">
        <f t="shared" ref="O7:O14" si="4">IF($N$5="成新度","——",ROUND(M7*N7,0))</f>
        <v>——</v>
      </c>
      <c r="P7" s="76" t="str">
        <f t="shared" ref="P7:P14" si="5">IF($N$5="成新度","——",M7-O7)</f>
        <v>——</v>
      </c>
      <c r="Q7" s="805">
        <v>0.25</v>
      </c>
      <c r="R7" s="77">
        <f ca="1">SUMIF('数据-汇总表'!C$19:C$33,A7,'数据-汇总表'!R$19:R$27)</f>
        <v>3795.36</v>
      </c>
      <c r="S7" s="54">
        <f>IF('数据-汇总表'!$I$17="按面积比例",SUMIF('数据-汇总表'!C$19:C$33,A7,'数据-汇总表'!K$19:K$33),SUMIF('数据-汇总表'!C$19:C$33,A7,'数据-汇总表'!N$19:N$33))</f>
        <v>0</v>
      </c>
      <c r="T7" s="1447">
        <f t="shared" ref="T7:T13" si="6">ROUND($L$14*S7/10000,0)</f>
        <v>0</v>
      </c>
      <c r="U7" s="78">
        <f>市场租金!A3</f>
        <v>8.4</v>
      </c>
      <c r="V7" s="79">
        <v>0.03</v>
      </c>
      <c r="W7" s="79">
        <v>0.1</v>
      </c>
      <c r="X7" s="1265"/>
      <c r="Y7" s="80">
        <f>Y6</f>
        <v>0.87</v>
      </c>
      <c r="Z7" s="81"/>
      <c r="AA7" s="74"/>
      <c r="AB7" s="74"/>
      <c r="AC7" s="1265"/>
      <c r="AD7" s="82"/>
      <c r="AE7" s="1266">
        <f t="shared" ref="AE7:AE13" ca="1" si="7">IF(AN7="",0,SUMIF(INDIRECT("'"&amp;AN7&amp;"'"&amp;"!E:E"),$AE$5,INDIRECT("'"&amp;AN7&amp;"'"&amp;"!F:F")))</f>
        <v>35.880000000000003</v>
      </c>
      <c r="AF7" s="1809"/>
      <c r="AG7" s="147">
        <f t="shared" ref="AG7:AG13" si="8">IF(AF7="",0,AE7-AF7)</f>
        <v>0</v>
      </c>
      <c r="AH7" s="83"/>
      <c r="AI7" s="85">
        <v>365</v>
      </c>
      <c r="AJ7" s="86"/>
      <c r="AK7" s="87">
        <v>0.02</v>
      </c>
      <c r="AL7" s="88">
        <v>2E-3</v>
      </c>
      <c r="AM7" s="89">
        <v>0.02</v>
      </c>
      <c r="AN7" s="2309" t="s">
        <v>3353</v>
      </c>
      <c r="AO7" s="55">
        <f t="shared" ref="AO7:AO13" ca="1" si="9">SUMIF(INDIRECT("'"&amp;AN7&amp;"'"&amp;"!A:A"),"总价",INDIRECT("'"&amp;AN7&amp;"'"&amp;"!B:B"))</f>
        <v>142274</v>
      </c>
      <c r="AP7" s="2310">
        <f t="shared" ref="AP7:AP13" si="10">IF(C7="住宅",K7*L7,0)</f>
        <v>0</v>
      </c>
      <c r="AQ7" s="55">
        <f t="shared" ref="AQ7:AQ13" si="11">ROUND($L$14*$N$14*S7/10000,0)</f>
        <v>0</v>
      </c>
      <c r="AR7" s="55">
        <f t="shared" ref="AR7:AR13" si="12">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6" customFormat="1" ht="14.25">
      <c r="A8" s="2306" t="str">
        <f>'数据-汇总表'!C21</f>
        <v>已出租商业</v>
      </c>
      <c r="B8" s="2307" t="str">
        <f t="shared" si="1"/>
        <v>经营性</v>
      </c>
      <c r="C8" s="2308" t="s">
        <v>1378</v>
      </c>
      <c r="D8" s="1055">
        <f>SUMIF(项目基本情况!D$12:I$12,C8,项目基本情况!D$14:I$14)</f>
        <v>40</v>
      </c>
      <c r="E8" s="1052">
        <f>IF(B8="","",SUMIF(项目基本情况!D$12:I$12,C8,项目基本情况!D$13:I$13))</f>
        <v>52550</v>
      </c>
      <c r="F8" s="72">
        <f>SUMIF(项目基本情况!D$12:I$12,C8,项目基本情况!D$15:I$15)</f>
        <v>25.87</v>
      </c>
      <c r="G8" s="73">
        <f t="shared" si="2"/>
        <v>0.84899999999999998</v>
      </c>
      <c r="H8" s="803">
        <v>5.5E-2</v>
      </c>
      <c r="I8" s="803">
        <v>0.06</v>
      </c>
      <c r="J8" s="74">
        <v>8.5000000000000006E-2</v>
      </c>
      <c r="K8" s="1255">
        <f>SUMIF('数据-汇总表'!C$19:C$33,A8,'数据-汇总表'!E$19:E$33)</f>
        <v>500</v>
      </c>
      <c r="L8" s="804">
        <v>3800</v>
      </c>
      <c r="M8" s="75">
        <f>ROUND(K8*L8/10000,0)</f>
        <v>190</v>
      </c>
      <c r="N8" s="802">
        <f t="shared" si="3"/>
        <v>0.87</v>
      </c>
      <c r="O8" s="75" t="str">
        <f t="shared" si="4"/>
        <v>——</v>
      </c>
      <c r="P8" s="76" t="str">
        <f t="shared" si="5"/>
        <v>——</v>
      </c>
      <c r="Q8" s="805">
        <v>0.35</v>
      </c>
      <c r="R8" s="77">
        <f ca="1">SUMIF('数据-汇总表'!C$19:C$33,A8,'数据-汇总表'!R$19:R$27)</f>
        <v>73.540000000000006</v>
      </c>
      <c r="S8" s="54">
        <f>IF('数据-汇总表'!$I$17="按面积比例",SUMIF('数据-汇总表'!C$19:C$33,A8,'数据-汇总表'!K$19:K$33),SUMIF('数据-汇总表'!C$19:C$33,A8,'数据-汇总表'!N$19:N$33))</f>
        <v>0</v>
      </c>
      <c r="T8" s="1447">
        <f t="shared" si="6"/>
        <v>0</v>
      </c>
      <c r="U8" s="806">
        <f>租约!U6</f>
        <v>10.73</v>
      </c>
      <c r="V8" s="807">
        <v>0</v>
      </c>
      <c r="W8" s="807">
        <v>0</v>
      </c>
      <c r="X8" s="1265"/>
      <c r="Y8" s="808">
        <f>Y6</f>
        <v>0.87</v>
      </c>
      <c r="Z8" s="3080">
        <f>市场租金!F13</f>
        <v>9.2799999999999994</v>
      </c>
      <c r="AA8" s="74">
        <f>市场租金!B14</f>
        <v>3.5000000000000003E-2</v>
      </c>
      <c r="AB8" s="74">
        <f>市场租金!D14</f>
        <v>0.1</v>
      </c>
      <c r="AC8" s="1265"/>
      <c r="AD8" s="82">
        <f>ROUND(((1-(2022-2008)/60)+90%)/2,2)</f>
        <v>0.83</v>
      </c>
      <c r="AE8" s="1266">
        <f t="shared" ca="1" si="7"/>
        <v>25.87</v>
      </c>
      <c r="AF8" s="1809">
        <f>市场租金!B15</f>
        <v>4.32</v>
      </c>
      <c r="AG8" s="147">
        <f t="shared" ca="1" si="8"/>
        <v>21.55</v>
      </c>
      <c r="AH8" s="809"/>
      <c r="AI8" s="85">
        <v>365</v>
      </c>
      <c r="AJ8" s="86"/>
      <c r="AK8" s="810">
        <v>0.02</v>
      </c>
      <c r="AL8" s="811">
        <v>2E-3</v>
      </c>
      <c r="AM8" s="812">
        <v>0.02</v>
      </c>
      <c r="AN8" s="2309" t="s">
        <v>3418</v>
      </c>
      <c r="AO8" s="55">
        <f t="shared" ca="1" si="9"/>
        <v>2272</v>
      </c>
      <c r="AP8" s="2310">
        <f t="shared" si="10"/>
        <v>0</v>
      </c>
      <c r="AQ8" s="55">
        <f t="shared" si="11"/>
        <v>0</v>
      </c>
      <c r="AR8" s="55">
        <f t="shared" si="12"/>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6" customFormat="1" ht="14.25">
      <c r="A9" s="2306" t="str">
        <f>'数据-汇总表'!C22</f>
        <v>未出租商业</v>
      </c>
      <c r="B9" s="2307" t="str">
        <f t="shared" si="1"/>
        <v>经营性</v>
      </c>
      <c r="C9" s="2308" t="s">
        <v>1378</v>
      </c>
      <c r="D9" s="1055">
        <f>SUMIF(项目基本情况!D$12:I$12,C9,项目基本情况!D$14:I$14)</f>
        <v>40</v>
      </c>
      <c r="E9" s="1052">
        <f>IF(B9="","",SUMIF(项目基本情况!D$12:I$12,C9,项目基本情况!D$13:I$13))</f>
        <v>52550</v>
      </c>
      <c r="F9" s="72">
        <f>SUMIF(项目基本情况!D$12:I$12,C9,项目基本情况!D$15:I$15)</f>
        <v>25.87</v>
      </c>
      <c r="G9" s="73">
        <f t="shared" si="2"/>
        <v>0.84899999999999998</v>
      </c>
      <c r="H9" s="74">
        <v>5.5E-2</v>
      </c>
      <c r="I9" s="74">
        <v>0.06</v>
      </c>
      <c r="J9" s="74">
        <v>8.5000000000000006E-2</v>
      </c>
      <c r="K9" s="1255">
        <f>SUMIF('数据-汇总表'!C$19:C$33,A9,'数据-汇总表'!E$19:E$33)</f>
        <v>2641.59</v>
      </c>
      <c r="L9" s="804">
        <v>3800</v>
      </c>
      <c r="M9" s="75">
        <f t="shared" si="0"/>
        <v>1004</v>
      </c>
      <c r="N9" s="802">
        <f t="shared" si="3"/>
        <v>0.87</v>
      </c>
      <c r="O9" s="75" t="str">
        <f t="shared" si="4"/>
        <v>——</v>
      </c>
      <c r="P9" s="76" t="str">
        <f t="shared" si="5"/>
        <v>——</v>
      </c>
      <c r="Q9" s="90">
        <v>0.35</v>
      </c>
      <c r="R9" s="77">
        <f ca="1">SUMIF('数据-汇总表'!C$19:C$33,A9,'数据-汇总表'!R$19:R$27)</f>
        <v>388.53</v>
      </c>
      <c r="S9" s="54">
        <f>IF('数据-汇总表'!$I$17="按面积比例",SUMIF('数据-汇总表'!C$19:C$33,A9,'数据-汇总表'!K$19:K$33),SUMIF('数据-汇总表'!C$19:C$33,A9,'数据-汇总表'!N$19:N$33))</f>
        <v>0</v>
      </c>
      <c r="T9" s="1447">
        <f t="shared" si="6"/>
        <v>0</v>
      </c>
      <c r="U9" s="78">
        <f>市场租金!A13</f>
        <v>8</v>
      </c>
      <c r="V9" s="79">
        <f>市场租金!B14</f>
        <v>3.5000000000000003E-2</v>
      </c>
      <c r="W9" s="79">
        <f>市场租金!D14</f>
        <v>0.1</v>
      </c>
      <c r="X9" s="1265"/>
      <c r="Y9" s="80">
        <f>Y8</f>
        <v>0.87</v>
      </c>
      <c r="Z9" s="81"/>
      <c r="AA9" s="74"/>
      <c r="AB9" s="74"/>
      <c r="AC9" s="1265"/>
      <c r="AD9" s="82"/>
      <c r="AE9" s="1266">
        <f t="shared" ca="1" si="7"/>
        <v>25.87</v>
      </c>
      <c r="AF9" s="1809"/>
      <c r="AG9" s="147">
        <f t="shared" si="8"/>
        <v>0</v>
      </c>
      <c r="AH9" s="83"/>
      <c r="AI9" s="85">
        <v>365</v>
      </c>
      <c r="AJ9" s="86"/>
      <c r="AK9" s="87">
        <v>0.02</v>
      </c>
      <c r="AL9" s="88">
        <v>2E-3</v>
      </c>
      <c r="AM9" s="89">
        <v>0.02</v>
      </c>
      <c r="AN9" s="2309" t="s">
        <v>3424</v>
      </c>
      <c r="AO9" s="55">
        <f t="shared" ca="1" si="9"/>
        <v>10891</v>
      </c>
      <c r="AP9" s="2310">
        <f t="shared" si="10"/>
        <v>0</v>
      </c>
      <c r="AQ9" s="55">
        <f t="shared" si="11"/>
        <v>0</v>
      </c>
      <c r="AR9" s="55">
        <f t="shared" si="12"/>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6"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7">
        <f t="shared" si="6"/>
        <v>0</v>
      </c>
      <c r="U10" s="78"/>
      <c r="V10" s="79"/>
      <c r="W10" s="79"/>
      <c r="X10" s="1265"/>
      <c r="Y10" s="80"/>
      <c r="Z10" s="81"/>
      <c r="AA10" s="74"/>
      <c r="AB10" s="74"/>
      <c r="AC10" s="1265"/>
      <c r="AD10" s="82"/>
      <c r="AE10" s="1266">
        <f t="shared" ca="1" si="7"/>
        <v>0</v>
      </c>
      <c r="AF10" s="1809"/>
      <c r="AG10" s="147">
        <f t="shared" si="8"/>
        <v>0</v>
      </c>
      <c r="AH10" s="83"/>
      <c r="AI10" s="85"/>
      <c r="AJ10" s="86"/>
      <c r="AK10" s="87"/>
      <c r="AL10" s="88"/>
      <c r="AM10" s="89"/>
      <c r="AN10" s="2309"/>
      <c r="AO10" s="55" t="e">
        <f t="shared" ca="1" si="9"/>
        <v>#REF!</v>
      </c>
      <c r="AP10" s="2310">
        <f t="shared" si="10"/>
        <v>0</v>
      </c>
      <c r="AQ10" s="55">
        <f t="shared" si="11"/>
        <v>0</v>
      </c>
      <c r="AR10" s="55">
        <f t="shared" si="12"/>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6"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7">
        <f t="shared" si="6"/>
        <v>0</v>
      </c>
      <c r="U11" s="83"/>
      <c r="V11" s="74"/>
      <c r="W11" s="74"/>
      <c r="X11" s="1265"/>
      <c r="Y11" s="80"/>
      <c r="Z11" s="93"/>
      <c r="AA11" s="74"/>
      <c r="AB11" s="74"/>
      <c r="AC11" s="1265"/>
      <c r="AD11" s="82"/>
      <c r="AE11" s="1266">
        <f t="shared" ca="1" si="7"/>
        <v>0</v>
      </c>
      <c r="AF11" s="1809"/>
      <c r="AG11" s="147">
        <f t="shared" si="8"/>
        <v>0</v>
      </c>
      <c r="AH11" s="83"/>
      <c r="AI11" s="85"/>
      <c r="AJ11" s="86"/>
      <c r="AK11" s="94"/>
      <c r="AL11" s="95"/>
      <c r="AM11" s="96"/>
      <c r="AN11" s="2309"/>
      <c r="AO11" s="55" t="e">
        <f t="shared" ca="1" si="9"/>
        <v>#REF!</v>
      </c>
      <c r="AP11" s="2310">
        <f t="shared" si="10"/>
        <v>0</v>
      </c>
      <c r="AQ11" s="55">
        <f t="shared" si="11"/>
        <v>0</v>
      </c>
      <c r="AR11" s="55">
        <f t="shared" si="12"/>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6"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7">
        <f t="shared" si="6"/>
        <v>0</v>
      </c>
      <c r="U12" s="83"/>
      <c r="V12" s="74"/>
      <c r="W12" s="74"/>
      <c r="X12" s="1265"/>
      <c r="Y12" s="80"/>
      <c r="Z12" s="93"/>
      <c r="AA12" s="74"/>
      <c r="AB12" s="74"/>
      <c r="AC12" s="1265"/>
      <c r="AD12" s="82"/>
      <c r="AE12" s="1266">
        <f t="shared" ca="1" si="7"/>
        <v>0</v>
      </c>
      <c r="AF12" s="1809"/>
      <c r="AG12" s="147">
        <f t="shared" si="8"/>
        <v>0</v>
      </c>
      <c r="AH12" s="83"/>
      <c r="AI12" s="85"/>
      <c r="AJ12" s="86"/>
      <c r="AK12" s="94"/>
      <c r="AL12" s="95"/>
      <c r="AM12" s="96"/>
      <c r="AN12" s="2309"/>
      <c r="AO12" s="55" t="e">
        <f t="shared" ca="1" si="9"/>
        <v>#REF!</v>
      </c>
      <c r="AP12" s="2310">
        <f t="shared" si="10"/>
        <v>0</v>
      </c>
      <c r="AQ12" s="55">
        <f t="shared" si="11"/>
        <v>0</v>
      </c>
      <c r="AR12" s="55">
        <f t="shared" si="12"/>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6"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7">
        <f t="shared" si="6"/>
        <v>0</v>
      </c>
      <c r="U13" s="78"/>
      <c r="V13" s="79"/>
      <c r="W13" s="79"/>
      <c r="X13" s="1265"/>
      <c r="Y13" s="80"/>
      <c r="Z13" s="81"/>
      <c r="AA13" s="74"/>
      <c r="AB13" s="74"/>
      <c r="AC13" s="1265"/>
      <c r="AD13" s="82"/>
      <c r="AE13" s="1266">
        <f t="shared" ca="1" si="7"/>
        <v>0</v>
      </c>
      <c r="AF13" s="1809"/>
      <c r="AG13" s="147">
        <f t="shared" si="8"/>
        <v>0</v>
      </c>
      <c r="AH13" s="83"/>
      <c r="AI13" s="85"/>
      <c r="AJ13" s="86"/>
      <c r="AK13" s="87"/>
      <c r="AL13" s="88"/>
      <c r="AM13" s="89"/>
      <c r="AN13" s="2309"/>
      <c r="AO13" s="55" t="e">
        <f t="shared" ca="1" si="9"/>
        <v>#REF!</v>
      </c>
      <c r="AP13" s="2310">
        <f t="shared" si="10"/>
        <v>0</v>
      </c>
      <c r="AQ13" s="55">
        <f t="shared" si="11"/>
        <v>0</v>
      </c>
      <c r="AR13" s="55">
        <f t="shared" si="12"/>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6" customFormat="1" ht="14.25">
      <c r="A14" s="2311" t="s">
        <v>2011</v>
      </c>
      <c r="B14" s="2307" t="s">
        <v>2012</v>
      </c>
      <c r="C14" s="2312" t="s">
        <v>2011</v>
      </c>
      <c r="D14" s="1055"/>
      <c r="E14" s="1052"/>
      <c r="F14" s="72"/>
      <c r="G14" s="73"/>
      <c r="H14" s="1254"/>
      <c r="I14" s="1254"/>
      <c r="J14" s="1254"/>
      <c r="K14" s="1255">
        <f>SUMIF('数据-汇总表'!C$19:C$33,A14,'数据-汇总表'!E$19:E$33)</f>
        <v>0</v>
      </c>
      <c r="L14" s="91">
        <v>2200</v>
      </c>
      <c r="M14" s="75">
        <f t="shared" si="0"/>
        <v>0</v>
      </c>
      <c r="N14" s="92">
        <f>N6</f>
        <v>0.87</v>
      </c>
      <c r="O14" s="75" t="str">
        <f t="shared" si="4"/>
        <v>——</v>
      </c>
      <c r="P14" s="76" t="str">
        <f t="shared" si="5"/>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6" customFormat="1" ht="27">
      <c r="A15" s="2311" t="s">
        <v>2013</v>
      </c>
      <c r="B15" s="2307" t="s">
        <v>2012</v>
      </c>
      <c r="C15" s="2312" t="s">
        <v>2014</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6" customFormat="1" ht="15.75" thickBot="1">
      <c r="A16" s="2313" t="s">
        <v>2015</v>
      </c>
      <c r="B16" s="97"/>
      <c r="C16" s="1009"/>
      <c r="D16" s="2314"/>
      <c r="E16" s="97"/>
      <c r="F16" s="97"/>
      <c r="G16" s="98">
        <f>ROUND(SUMPRODUCT(G6:G13,K6:K13)/SUMPRODUCT((G6:G13&gt;0)*(K6:K13)),3)</f>
        <v>0.90200000000000002</v>
      </c>
      <c r="H16" s="99">
        <f>ROUND(SUMPRODUCT(H6:H13,K6:K13)/SUMPRODUCT((H6:H13&gt;0)*(K6:K13)),3)</f>
        <v>0.05</v>
      </c>
      <c r="I16" s="100"/>
      <c r="J16" s="100"/>
      <c r="K16" s="101">
        <f>SUM(K6:K15)</f>
        <v>66448.330000000016</v>
      </c>
      <c r="L16" s="102">
        <f>ROUND(M16*10000/SUM(K6:K14),0)</f>
        <v>3514</v>
      </c>
      <c r="M16" s="102">
        <f>SUM(M6:M14)</f>
        <v>23352</v>
      </c>
      <c r="N16" s="103">
        <f>ROUND(SUMPRODUCT(M6:M14,N6:N14)/M16,3)</f>
        <v>0.87</v>
      </c>
      <c r="O16" s="102">
        <f>SUM(O6:O14)</f>
        <v>0</v>
      </c>
      <c r="P16" s="102">
        <f>SUM(P6:P14)</f>
        <v>0</v>
      </c>
      <c r="Q16" s="104">
        <f>ROUND(SUMPRODUCT(Q6:Q13,K6:K13)/SUMPRODUCT((Q6:Q13&gt;0)*(K6:K13)),2)</f>
        <v>0.25</v>
      </c>
      <c r="R16" s="1259">
        <f ca="1">SUM(R6:R13)</f>
        <v>9773.2200000000012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6"/>
      <c r="D17" s="2273"/>
      <c r="E17" s="2273"/>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2016</v>
      </c>
      <c r="B18" s="2280"/>
      <c r="C18" s="2277"/>
      <c r="D18" s="2278"/>
      <c r="E18" s="2277"/>
      <c r="F18" s="2277"/>
      <c r="G18" s="2277"/>
      <c r="H18" s="2277"/>
      <c r="I18" s="2277"/>
      <c r="J18" s="2277"/>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6" t="s">
        <v>2017</v>
      </c>
      <c r="B19" s="112">
        <v>0</v>
      </c>
      <c r="C19" s="2277" t="s">
        <v>2018</v>
      </c>
      <c r="D19" s="2278"/>
      <c r="E19" s="2277"/>
      <c r="F19" s="2277"/>
      <c r="G19" s="2277"/>
      <c r="H19" s="2277"/>
      <c r="I19" s="2277"/>
      <c r="J19" s="2277"/>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7" t="s">
        <v>2019</v>
      </c>
      <c r="B20" s="113">
        <v>1.5</v>
      </c>
      <c r="C20" s="2277" t="s">
        <v>2020</v>
      </c>
      <c r="D20" s="2278"/>
      <c r="E20" s="2277"/>
      <c r="F20" s="2277"/>
      <c r="G20" s="2277"/>
      <c r="H20" s="2277"/>
      <c r="I20" s="2277"/>
      <c r="J20" s="2277"/>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8" t="s">
        <v>2021</v>
      </c>
      <c r="B21" s="113">
        <v>1.5</v>
      </c>
      <c r="C21" s="2277"/>
      <c r="D21" s="2278"/>
      <c r="E21" s="2277"/>
      <c r="F21" s="2277"/>
      <c r="G21" s="2277"/>
      <c r="H21" s="2277"/>
      <c r="I21" s="2277"/>
      <c r="J21" s="2277"/>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7" t="s">
        <v>2022</v>
      </c>
      <c r="B22" s="114">
        <f>B19+B20</f>
        <v>1.5</v>
      </c>
      <c r="C22" s="2277"/>
      <c r="D22" s="2278"/>
      <c r="E22" s="2277"/>
      <c r="F22" s="2277"/>
      <c r="G22" s="2277"/>
      <c r="H22" s="2277"/>
      <c r="I22" s="2277"/>
      <c r="J22" s="2277"/>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8" t="s">
        <v>2023</v>
      </c>
      <c r="B23" s="114">
        <f>B19+B21</f>
        <v>1.5</v>
      </c>
      <c r="C23" s="2277"/>
      <c r="D23" s="2278"/>
      <c r="E23" s="2277"/>
      <c r="F23" s="2277"/>
      <c r="G23" s="2277"/>
      <c r="H23" s="2277"/>
      <c r="I23" s="2277"/>
      <c r="J23" s="2277"/>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19" t="s">
        <v>2024</v>
      </c>
      <c r="B24" s="115">
        <f>B20-B21</f>
        <v>0</v>
      </c>
      <c r="C24" s="2277"/>
      <c r="D24" s="2278"/>
      <c r="E24" s="2277"/>
      <c r="F24" s="2277"/>
      <c r="G24" s="2277"/>
      <c r="H24" s="2277"/>
      <c r="I24" s="2277"/>
      <c r="J24" s="2277"/>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0"/>
      <c r="C25" s="2277"/>
      <c r="D25" s="2278"/>
      <c r="E25" s="2277"/>
      <c r="F25" s="2277"/>
      <c r="G25" s="2277"/>
      <c r="H25" s="2277"/>
      <c r="I25" s="2277"/>
      <c r="J25" s="2277"/>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6" t="s">
        <v>2025</v>
      </c>
      <c r="B26" s="2320" t="s">
        <v>2026</v>
      </c>
      <c r="C26" s="2321" t="s">
        <v>2027</v>
      </c>
      <c r="D26" s="2278"/>
      <c r="E26" s="2277"/>
      <c r="F26" s="2277"/>
      <c r="G26" s="2277"/>
      <c r="H26" s="2277"/>
      <c r="I26" s="2277"/>
      <c r="J26" s="2277"/>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4" customFormat="1" ht="27.75">
      <c r="A27" s="2322" t="s">
        <v>2028</v>
      </c>
      <c r="B27" s="116"/>
      <c r="C27" s="1769" t="s">
        <v>2029</v>
      </c>
      <c r="D27" s="2323"/>
      <c r="E27" s="1431"/>
      <c r="F27" s="1431"/>
      <c r="G27" s="2277"/>
      <c r="H27" s="2277"/>
      <c r="I27" s="2277"/>
      <c r="J27" s="2277"/>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2030</v>
      </c>
      <c r="B28" s="119">
        <v>200</v>
      </c>
      <c r="C28" s="2326"/>
      <c r="D28" s="2323"/>
      <c r="E28" s="1431"/>
      <c r="F28" s="1431"/>
      <c r="G28" s="2277"/>
      <c r="H28" s="2277"/>
      <c r="I28" s="2277"/>
      <c r="J28" s="2277"/>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2031</v>
      </c>
      <c r="B29" s="121"/>
      <c r="C29" s="1769" t="s">
        <v>2032</v>
      </c>
      <c r="D29" s="2323"/>
      <c r="E29" s="1431"/>
      <c r="F29" s="1431"/>
      <c r="G29" s="2277"/>
      <c r="H29" s="2277"/>
      <c r="I29" s="2277"/>
      <c r="J29" s="2277"/>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2033</v>
      </c>
      <c r="B30" s="725">
        <v>200</v>
      </c>
      <c r="C30" s="2326"/>
      <c r="D30" s="2323"/>
      <c r="E30" s="1431"/>
      <c r="F30" s="1431"/>
      <c r="G30" s="2277"/>
      <c r="H30" s="2277"/>
      <c r="I30" s="2277"/>
      <c r="J30" s="2277"/>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2034</v>
      </c>
      <c r="B31" s="120">
        <f>B30-B32</f>
        <v>200</v>
      </c>
      <c r="C31" s="1769"/>
      <c r="D31" s="2323"/>
      <c r="E31" s="1431"/>
      <c r="F31" s="1431"/>
      <c r="G31" s="2277"/>
      <c r="H31" s="2277"/>
      <c r="I31" s="2277"/>
      <c r="J31" s="2277"/>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2035</v>
      </c>
      <c r="B32" s="726">
        <v>0</v>
      </c>
      <c r="C32" s="2326"/>
      <c r="D32" s="2278"/>
      <c r="E32" s="2277"/>
      <c r="F32" s="2277"/>
      <c r="G32" s="2277"/>
      <c r="H32" s="2277"/>
      <c r="I32" s="2277"/>
      <c r="J32" s="2277"/>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2036</v>
      </c>
      <c r="B33" s="727">
        <v>0.05</v>
      </c>
      <c r="C33" s="1768" t="s">
        <v>2037</v>
      </c>
      <c r="D33" s="2278"/>
      <c r="E33" s="2277"/>
      <c r="F33" s="2277"/>
      <c r="G33" s="2277"/>
      <c r="H33" s="2277"/>
      <c r="I33" s="2277"/>
      <c r="J33" s="2277"/>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2038</v>
      </c>
      <c r="B34" s="122">
        <v>0</v>
      </c>
      <c r="C34" s="1768" t="s">
        <v>2039</v>
      </c>
      <c r="D34" s="2278" t="s">
        <v>2040</v>
      </c>
      <c r="E34" s="733"/>
      <c r="F34" s="2277"/>
      <c r="G34" s="2277"/>
      <c r="H34" s="2277"/>
      <c r="I34" s="2277"/>
      <c r="J34" s="2277"/>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2041</v>
      </c>
      <c r="B35" s="119">
        <v>200</v>
      </c>
      <c r="C35" s="1768" t="s">
        <v>2042</v>
      </c>
      <c r="D35" s="2323"/>
      <c r="E35" s="1431"/>
      <c r="F35" s="1431"/>
      <c r="G35" s="2277"/>
      <c r="H35" s="2277"/>
      <c r="I35" s="2277"/>
      <c r="J35" s="2277"/>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2043</v>
      </c>
      <c r="B36" s="123">
        <v>1.4999999999999999E-2</v>
      </c>
      <c r="C36" s="1768" t="s">
        <v>2044</v>
      </c>
      <c r="D36" s="2278"/>
      <c r="E36" s="2277"/>
      <c r="F36" s="2277"/>
      <c r="G36" s="2277"/>
      <c r="H36" s="2277"/>
      <c r="I36" s="2277"/>
      <c r="J36" s="2277"/>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8" t="s">
        <v>2045</v>
      </c>
      <c r="B37" s="124">
        <v>0.02</v>
      </c>
      <c r="C37" s="1768" t="s">
        <v>2046</v>
      </c>
      <c r="D37" s="2278"/>
      <c r="E37" s="2277"/>
      <c r="F37" s="2277"/>
      <c r="G37" s="2277"/>
      <c r="H37" s="2277"/>
      <c r="I37" s="2277"/>
      <c r="J37" s="2277"/>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5" t="s">
        <v>2047</v>
      </c>
      <c r="B38" s="122">
        <v>0.02</v>
      </c>
      <c r="C38" s="1768" t="s">
        <v>2046</v>
      </c>
      <c r="D38" s="2278"/>
      <c r="E38" s="2277"/>
      <c r="F38" s="2277"/>
      <c r="G38" s="2277"/>
      <c r="H38" s="2277"/>
      <c r="I38" s="2277"/>
      <c r="J38" s="2277"/>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29" t="s">
        <v>2048</v>
      </c>
      <c r="B39" s="363">
        <f ca="1">存贷款利率!I1</f>
        <v>1.4999999999999999E-2</v>
      </c>
      <c r="C39" s="1768"/>
      <c r="D39" s="2278"/>
      <c r="E39" s="2277"/>
      <c r="F39" s="2277"/>
      <c r="G39" s="2277"/>
      <c r="H39" s="2277"/>
      <c r="I39" s="2277"/>
      <c r="J39" s="2277"/>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29" t="s">
        <v>2049</v>
      </c>
      <c r="B40" s="1304">
        <f ca="1">存贷款利率!G1</f>
        <v>4.7500000000000001E-2</v>
      </c>
      <c r="C40" s="1768" t="s">
        <v>2050</v>
      </c>
      <c r="D40" s="1586"/>
      <c r="E40" s="2278"/>
      <c r="F40" s="2277"/>
      <c r="G40" s="2277"/>
      <c r="H40" s="2277"/>
      <c r="I40" s="2277"/>
      <c r="J40" s="2277"/>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2" t="s">
        <v>2051</v>
      </c>
      <c r="B41" s="125">
        <f>B42+B43</f>
        <v>5.6000000000000001E-2</v>
      </c>
      <c r="C41" s="1769"/>
      <c r="D41" s="1586"/>
      <c r="E41" s="2278"/>
      <c r="F41" s="2277"/>
      <c r="G41" s="2277"/>
      <c r="H41" s="2277"/>
      <c r="I41" s="2277"/>
      <c r="J41" s="2277"/>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0" t="s">
        <v>2052</v>
      </c>
      <c r="B42" s="126">
        <v>0.05</v>
      </c>
      <c r="C42" s="2331">
        <f>IF(B2&lt;DATE(2016,5,1),0,B42)</f>
        <v>0.05</v>
      </c>
      <c r="D42" s="2278"/>
      <c r="E42" s="2277"/>
      <c r="F42" s="2277"/>
      <c r="G42" s="2277"/>
      <c r="H42" s="2277"/>
      <c r="I42" s="2277"/>
      <c r="J42" s="2277"/>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0" t="s">
        <v>2053</v>
      </c>
      <c r="B43" s="127">
        <f>B42*(B44+B45+B46)+B47</f>
        <v>6.000000000000001E-3</v>
      </c>
      <c r="C43" s="1769"/>
      <c r="D43" s="2278"/>
      <c r="E43" s="2277"/>
      <c r="F43" s="2277"/>
      <c r="G43" s="2277"/>
      <c r="H43" s="2277"/>
      <c r="I43" s="2277"/>
      <c r="J43" s="2277"/>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2" t="s">
        <v>2054</v>
      </c>
      <c r="B44" s="128">
        <v>7.0000000000000007E-2</v>
      </c>
      <c r="C44" s="1768" t="s">
        <v>2055</v>
      </c>
      <c r="D44" s="2278"/>
      <c r="E44" s="2277"/>
      <c r="F44" s="2277"/>
      <c r="G44" s="2277"/>
      <c r="H44" s="2277"/>
      <c r="I44" s="2277"/>
      <c r="J44" s="2277"/>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2" t="s">
        <v>2056</v>
      </c>
      <c r="B45" s="126">
        <v>0.03</v>
      </c>
      <c r="C45" s="1769" t="s">
        <v>2057</v>
      </c>
      <c r="D45" s="2278"/>
      <c r="E45" s="2277"/>
      <c r="F45" s="2277"/>
      <c r="G45" s="2277"/>
      <c r="H45" s="2277"/>
      <c r="I45" s="2277"/>
      <c r="J45" s="2277"/>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2" t="s">
        <v>2058</v>
      </c>
      <c r="B46" s="126">
        <v>0.02</v>
      </c>
      <c r="C46" s="1769" t="s">
        <v>2059</v>
      </c>
      <c r="D46" s="2278"/>
      <c r="E46" s="2277"/>
      <c r="F46" s="2277"/>
      <c r="G46" s="2277"/>
      <c r="H46" s="2277"/>
      <c r="I46" s="2277"/>
      <c r="J46" s="2277"/>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3" t="s">
        <v>2060</v>
      </c>
      <c r="B47" s="129">
        <v>0</v>
      </c>
      <c r="C47" s="1769" t="s">
        <v>2061</v>
      </c>
      <c r="D47" s="2278"/>
      <c r="E47" s="2277"/>
      <c r="F47" s="2277"/>
      <c r="G47" s="2277"/>
      <c r="H47" s="2277"/>
      <c r="I47" s="2277"/>
      <c r="J47" s="2277"/>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4" t="s">
        <v>2062</v>
      </c>
      <c r="B48" s="130">
        <v>0.03</v>
      </c>
      <c r="C48" s="1776" t="s">
        <v>2063</v>
      </c>
      <c r="D48" s="2278"/>
      <c r="E48" s="2277"/>
      <c r="F48" s="2277"/>
      <c r="G48" s="2277"/>
      <c r="H48" s="2277"/>
      <c r="I48" s="2277"/>
      <c r="J48" s="2277"/>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29" t="s">
        <v>2064</v>
      </c>
      <c r="B49" s="126">
        <v>5.0000000000000001E-4</v>
      </c>
      <c r="C49" s="1776" t="s">
        <v>2065</v>
      </c>
      <c r="D49" s="2278"/>
      <c r="E49" s="2277"/>
      <c r="F49" s="2277"/>
      <c r="G49" s="2277"/>
      <c r="H49" s="2277"/>
      <c r="I49" s="2277"/>
      <c r="J49" s="2277"/>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5" t="s">
        <v>2066</v>
      </c>
      <c r="B50" s="131">
        <v>1.2E-2</v>
      </c>
      <c r="C50" s="1431"/>
      <c r="D50" s="2278"/>
      <c r="E50" s="2277"/>
      <c r="F50" s="2277"/>
      <c r="G50" s="2277"/>
      <c r="H50" s="2277"/>
      <c r="I50" s="2277"/>
      <c r="J50" s="2277"/>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7" t="s">
        <v>2067</v>
      </c>
      <c r="B51" s="132">
        <v>0.12</v>
      </c>
      <c r="C51" s="1431"/>
      <c r="D51" s="2278"/>
      <c r="E51" s="2277"/>
      <c r="F51" s="2277"/>
      <c r="G51" s="2277"/>
      <c r="H51" s="2277"/>
      <c r="I51" s="2277"/>
      <c r="J51" s="2277"/>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5" t="s">
        <v>2068</v>
      </c>
      <c r="B52" s="133">
        <f>SUMIF(A54:A63,B53,B54:B63)</f>
        <v>24</v>
      </c>
      <c r="C52" s="1431"/>
      <c r="D52" s="2278"/>
      <c r="E52" s="2277"/>
      <c r="F52" s="2277"/>
      <c r="G52" s="2277"/>
      <c r="H52" s="2277"/>
      <c r="I52" s="2277"/>
      <c r="J52" s="2277"/>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5" t="s">
        <v>2069</v>
      </c>
      <c r="B53" s="2336" t="s">
        <v>269</v>
      </c>
      <c r="C53" s="1431" t="s">
        <v>2070</v>
      </c>
      <c r="D53" s="2337" t="s">
        <v>2071</v>
      </c>
      <c r="E53" s="2277"/>
      <c r="F53" s="2277"/>
      <c r="G53" s="2277"/>
      <c r="H53" s="2277"/>
      <c r="I53" s="2277"/>
      <c r="J53" s="2277"/>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8" t="s">
        <v>2072</v>
      </c>
      <c r="B54" s="3089">
        <v>30</v>
      </c>
      <c r="C54" s="1431">
        <v>30</v>
      </c>
      <c r="D54" s="2278"/>
      <c r="E54" s="2277"/>
      <c r="F54" s="2277"/>
      <c r="G54" s="2277"/>
      <c r="H54" s="2277"/>
      <c r="I54" s="2277"/>
      <c r="J54" s="2277"/>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8" t="s">
        <v>2073</v>
      </c>
      <c r="B55" s="84">
        <v>24</v>
      </c>
      <c r="C55" s="1431">
        <v>24</v>
      </c>
      <c r="D55" s="2278"/>
      <c r="E55" s="2277"/>
      <c r="F55" s="2277"/>
      <c r="G55" s="2277"/>
      <c r="H55" s="2277"/>
      <c r="I55" s="2339"/>
      <c r="J55" s="2277"/>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8" t="s">
        <v>2074</v>
      </c>
      <c r="B56" s="84"/>
      <c r="C56" s="1431">
        <v>18</v>
      </c>
      <c r="D56" s="2278"/>
      <c r="E56" s="2277"/>
      <c r="F56" s="2277"/>
      <c r="G56" s="2277"/>
      <c r="H56" s="2277"/>
      <c r="I56" s="2277"/>
      <c r="J56" s="2277"/>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8" t="s">
        <v>2075</v>
      </c>
      <c r="B57" s="84"/>
      <c r="C57" s="1431">
        <v>12</v>
      </c>
      <c r="D57" s="2278"/>
      <c r="E57" s="2277"/>
      <c r="F57" s="2277"/>
      <c r="G57" s="2277"/>
      <c r="H57" s="2277"/>
      <c r="I57" s="2277"/>
      <c r="J57" s="2277"/>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8" t="s">
        <v>2076</v>
      </c>
      <c r="B58" s="84"/>
      <c r="C58" s="1431">
        <v>3</v>
      </c>
      <c r="D58" s="2278"/>
      <c r="E58" s="2277"/>
      <c r="F58" s="2277"/>
      <c r="G58" s="2277"/>
      <c r="H58" s="2277"/>
      <c r="I58" s="2277"/>
      <c r="J58" s="2277"/>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8" t="s">
        <v>2077</v>
      </c>
      <c r="B59" s="84"/>
      <c r="C59" s="1431">
        <v>1.5</v>
      </c>
      <c r="D59" s="2278"/>
      <c r="E59" s="2277"/>
      <c r="F59" s="2277"/>
      <c r="G59" s="2277"/>
      <c r="H59" s="2277"/>
      <c r="I59" s="2277"/>
      <c r="J59" s="2277"/>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8" t="s">
        <v>2078</v>
      </c>
      <c r="B60" s="84"/>
      <c r="C60" s="2277"/>
      <c r="D60" s="2278"/>
      <c r="E60" s="2277"/>
      <c r="F60" s="2277"/>
      <c r="G60" s="2277"/>
      <c r="H60" s="2277"/>
      <c r="I60" s="2277"/>
      <c r="J60" s="2277"/>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8" t="s">
        <v>2079</v>
      </c>
      <c r="B61" s="84"/>
      <c r="C61" s="2277"/>
      <c r="D61" s="2278"/>
      <c r="E61" s="2277"/>
      <c r="F61" s="2277"/>
      <c r="G61" s="2277"/>
      <c r="H61" s="2277"/>
      <c r="I61" s="2277"/>
      <c r="J61" s="2277"/>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8" t="s">
        <v>2080</v>
      </c>
      <c r="B62" s="84"/>
      <c r="C62" s="2277"/>
      <c r="D62" s="2278"/>
      <c r="E62" s="2277"/>
      <c r="F62" s="2277"/>
      <c r="G62" s="2277"/>
      <c r="H62" s="2277"/>
      <c r="I62" s="2277"/>
      <c r="J62" s="2277"/>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0" t="s">
        <v>2081</v>
      </c>
      <c r="B63" s="134"/>
      <c r="C63" s="2277"/>
      <c r="D63" s="2278"/>
      <c r="E63" s="2277"/>
      <c r="F63" s="2277"/>
      <c r="G63" s="2277"/>
      <c r="H63" s="2277"/>
      <c r="I63" s="2277"/>
      <c r="J63" s="2277"/>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95" t="s">
        <v>2082</v>
      </c>
      <c r="B1" s="3196"/>
      <c r="C1" s="3196"/>
      <c r="D1" s="3196"/>
      <c r="E1" s="3196"/>
      <c r="F1" s="3196"/>
      <c r="G1" s="319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6" t="s">
        <v>2085</v>
      </c>
      <c r="B3" s="1272" t="s">
        <v>2086</v>
      </c>
      <c r="C3" s="2370" t="s">
        <v>2087</v>
      </c>
      <c r="D3" s="2371"/>
      <c r="E3" s="432" t="s">
        <v>2085</v>
      </c>
      <c r="F3" s="2372" t="s">
        <v>2088</v>
      </c>
      <c r="G3" s="2373" t="s">
        <v>2089</v>
      </c>
      <c r="H3" s="2368"/>
      <c r="I3" s="2368"/>
      <c r="J3" s="2368"/>
      <c r="K3" s="2368"/>
      <c r="L3" s="2368"/>
      <c r="M3" s="2368"/>
      <c r="N3" s="2368"/>
      <c r="O3" s="2368"/>
      <c r="P3" s="2368"/>
      <c r="Q3" s="2368"/>
      <c r="R3" s="2368"/>
    </row>
    <row r="4" spans="1:29" ht="41.25">
      <c r="A4" s="432"/>
      <c r="B4" s="1800" t="s">
        <v>2090</v>
      </c>
      <c r="C4" s="2374" t="s">
        <v>2091</v>
      </c>
      <c r="D4" s="2371"/>
      <c r="E4" s="2375"/>
      <c r="F4" s="42" t="s">
        <v>2092</v>
      </c>
      <c r="G4" s="2376" t="s">
        <v>2093</v>
      </c>
      <c r="H4" s="2368"/>
      <c r="I4" s="2368"/>
      <c r="J4" s="2368"/>
      <c r="K4" s="2368"/>
      <c r="L4" s="2368"/>
      <c r="M4" s="2368"/>
      <c r="N4" s="2368"/>
      <c r="O4" s="2368"/>
      <c r="P4" s="2368"/>
      <c r="Q4" s="2368"/>
      <c r="R4" s="2368"/>
    </row>
    <row r="5" spans="1:29" ht="41.25">
      <c r="A5" s="432"/>
      <c r="B5" s="1800" t="s">
        <v>2094</v>
      </c>
      <c r="C5" s="2374" t="s">
        <v>2095</v>
      </c>
      <c r="D5" s="2371"/>
      <c r="E5" s="2375"/>
      <c r="F5" s="1800" t="s">
        <v>2096</v>
      </c>
      <c r="G5" s="2376" t="s">
        <v>2097</v>
      </c>
      <c r="H5" s="2368"/>
      <c r="I5" s="2368"/>
      <c r="J5" s="2368"/>
      <c r="K5" s="2368"/>
      <c r="L5" s="2368"/>
      <c r="M5" s="2368"/>
      <c r="N5" s="2368"/>
      <c r="O5" s="2368"/>
      <c r="P5" s="2368"/>
      <c r="Q5" s="2368"/>
      <c r="R5" s="2368"/>
    </row>
    <row r="6" spans="1:29" ht="54">
      <c r="A6" s="432"/>
      <c r="B6" s="1800" t="s">
        <v>2098</v>
      </c>
      <c r="C6" s="2376" t="s">
        <v>2093</v>
      </c>
      <c r="D6" s="2371"/>
      <c r="E6" s="2375"/>
      <c r="F6" s="1800" t="s">
        <v>2099</v>
      </c>
      <c r="G6" s="2376" t="s">
        <v>2100</v>
      </c>
      <c r="H6" s="2368"/>
      <c r="I6" s="2368"/>
      <c r="J6" s="2368"/>
      <c r="K6" s="2368"/>
      <c r="L6" s="2368"/>
      <c r="M6" s="2368"/>
      <c r="N6" s="2368"/>
      <c r="O6" s="2368"/>
      <c r="P6" s="2368"/>
      <c r="Q6" s="2368"/>
      <c r="R6" s="2368"/>
    </row>
    <row r="7" spans="1:29" ht="41.25" thickBot="1">
      <c r="A7" s="432"/>
      <c r="B7" s="1800" t="s">
        <v>2096</v>
      </c>
      <c r="C7" s="2376" t="s">
        <v>2097</v>
      </c>
      <c r="D7" s="2377"/>
      <c r="E7" s="2378"/>
      <c r="F7" s="2379" t="s">
        <v>2101</v>
      </c>
      <c r="G7" s="2380" t="s">
        <v>2102</v>
      </c>
      <c r="H7" s="2368"/>
      <c r="I7" s="2368"/>
      <c r="J7" s="2368"/>
      <c r="K7" s="2368"/>
      <c r="L7" s="2368"/>
      <c r="M7" s="2368"/>
      <c r="N7" s="2368"/>
      <c r="O7" s="2368"/>
      <c r="P7" s="2368"/>
      <c r="Q7" s="2368"/>
      <c r="R7" s="2368"/>
    </row>
    <row r="8" spans="1:29" ht="27">
      <c r="A8" s="432"/>
      <c r="B8" s="1800" t="s">
        <v>2099</v>
      </c>
      <c r="C8" s="2376" t="s">
        <v>2100</v>
      </c>
      <c r="D8" s="2377"/>
      <c r="E8" s="2377"/>
      <c r="F8" s="1137"/>
      <c r="G8" s="1137"/>
      <c r="H8" s="2368"/>
      <c r="I8" s="2368"/>
      <c r="J8" s="2368"/>
      <c r="K8" s="2368"/>
      <c r="L8" s="2368"/>
      <c r="M8" s="2368"/>
      <c r="N8" s="2368"/>
      <c r="O8" s="2368"/>
      <c r="P8" s="2368"/>
      <c r="Q8" s="2368"/>
      <c r="R8" s="2368"/>
    </row>
    <row r="9" spans="1:29" ht="27">
      <c r="A9" s="432"/>
      <c r="B9" s="1800" t="s">
        <v>2103</v>
      </c>
      <c r="C9" s="2374" t="s">
        <v>2104</v>
      </c>
      <c r="D9" s="2371"/>
      <c r="E9" s="2377"/>
      <c r="F9" s="1137"/>
      <c r="G9" s="1137"/>
      <c r="H9" s="2368"/>
      <c r="I9" s="2368"/>
      <c r="J9" s="2368"/>
      <c r="K9" s="2368"/>
      <c r="L9" s="2368"/>
      <c r="M9" s="2368"/>
      <c r="N9" s="2368"/>
      <c r="O9" s="2368"/>
      <c r="P9" s="2368"/>
      <c r="Q9" s="2368"/>
      <c r="R9" s="2368"/>
    </row>
    <row r="10" spans="1:29" s="117" customFormat="1" ht="15.75" thickBot="1">
      <c r="A10" s="2381"/>
      <c r="B10" s="2382" t="s">
        <v>2105</v>
      </c>
      <c r="C10" s="2383"/>
      <c r="D10" s="2371"/>
      <c r="E10" s="2371"/>
      <c r="F10" s="1137"/>
      <c r="G10" s="1137"/>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5"/>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5"/>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71" t="s">
        <v>2086</v>
      </c>
      <c r="C15" s="2403" t="str">
        <f>C3</f>
        <v>估价对象周边居住用地比例、居住小区规模和社区发展完善程度，综合评价居住社区成熟度一般</v>
      </c>
      <c r="D15" s="2371"/>
      <c r="E15" s="2404" t="s">
        <v>2110</v>
      </c>
      <c r="F15" s="1271" t="s">
        <v>2111</v>
      </c>
      <c r="G15" s="135" t="str">
        <f>G3</f>
        <v>估价对象位于XX开发区，园区建设成熟度XX，产业集聚程度XX</v>
      </c>
    </row>
    <row r="16" spans="1:29" ht="42.75">
      <c r="A16" s="646"/>
      <c r="B16" s="2405" t="s">
        <v>2090</v>
      </c>
      <c r="C16" s="2406" t="str">
        <f>C4</f>
        <v>估价对象位于XX商圈，周边商业氛围成熟，人流量大，商业繁华度好</v>
      </c>
      <c r="D16" s="2371"/>
      <c r="E16" s="2407"/>
      <c r="F16" s="2408" t="s">
        <v>2092</v>
      </c>
      <c r="G16" s="136" t="str">
        <f>G4</f>
        <v>估价对象周边道路状况、公共交通通达情况、停车便捷程度，综合评价交通便捷度较好</v>
      </c>
    </row>
    <row r="17" spans="1:18" ht="42.75">
      <c r="A17" s="646"/>
      <c r="B17" s="2405" t="s">
        <v>2094</v>
      </c>
      <c r="C17" s="2406" t="str">
        <f>C5</f>
        <v>估价对象位于XX商圈，周边办公楼项目较多，入驻率高，办公集聚程度较好</v>
      </c>
      <c r="D17" s="2377"/>
      <c r="E17" s="2407"/>
      <c r="F17" s="2408" t="s">
        <v>2112</v>
      </c>
      <c r="G17" s="1574"/>
    </row>
    <row r="18" spans="1:18" ht="57">
      <c r="A18" s="646"/>
      <c r="B18" s="2408" t="s">
        <v>2098</v>
      </c>
      <c r="C18" s="136" t="str">
        <f>C6</f>
        <v>估价对象周边道路状况、公共交通通达情况、停车便捷程度，综合评价交通便捷度较好</v>
      </c>
      <c r="D18" s="2377"/>
      <c r="E18" s="2407"/>
      <c r="F18" s="2408" t="s">
        <v>2101</v>
      </c>
      <c r="G18" s="136" t="str">
        <f>G7</f>
        <v>该园区内是否有污染型企业，绿化情况，卫生条件，整体环境状况判断</v>
      </c>
    </row>
    <row r="19" spans="1:18" ht="28.5">
      <c r="A19" s="646"/>
      <c r="B19" s="2408" t="s">
        <v>2113</v>
      </c>
      <c r="C19" s="1574"/>
      <c r="D19" s="2371"/>
      <c r="E19" s="2407"/>
      <c r="F19" s="1800" t="s">
        <v>2096</v>
      </c>
      <c r="G19" s="136" t="str">
        <f>G5</f>
        <v>估价对象所在区域公共配套设施齐备情况</v>
      </c>
    </row>
    <row r="20" spans="1:18" ht="28.5">
      <c r="A20" s="646"/>
      <c r="B20" s="2408" t="s">
        <v>2114</v>
      </c>
      <c r="C20" s="2406" t="str">
        <f>C9</f>
        <v>区域自然环境：；人文环境；综合评价环境状况一般</v>
      </c>
      <c r="D20" s="2377"/>
      <c r="E20" s="2407"/>
      <c r="F20" s="1800" t="s">
        <v>2115</v>
      </c>
      <c r="G20" s="136" t="str">
        <f>G6</f>
        <v>估价对象所在区域基础设施水平</v>
      </c>
    </row>
    <row r="21" spans="1:18" ht="28.5">
      <c r="A21" s="646"/>
      <c r="B21" s="1800" t="s">
        <v>2096</v>
      </c>
      <c r="C21" s="136" t="str">
        <f>C7</f>
        <v>估价对象所在区域公共配套设施齐备情况</v>
      </c>
      <c r="D21" s="2371"/>
      <c r="E21" s="2407"/>
      <c r="F21" s="2408" t="s">
        <v>2116</v>
      </c>
      <c r="G21" s="2409"/>
    </row>
    <row r="22" spans="1:18" ht="13.5" customHeight="1">
      <c r="A22" s="646"/>
      <c r="B22" s="1800" t="s">
        <v>2099</v>
      </c>
      <c r="C22" s="136" t="str">
        <f>C8</f>
        <v>估价对象所在区域基础设施水平</v>
      </c>
      <c r="D22" s="2371"/>
      <c r="E22" s="2407"/>
      <c r="F22" s="2408" t="s">
        <v>2105</v>
      </c>
      <c r="G22" s="1574"/>
    </row>
    <row r="23" spans="1:18" s="2368" customFormat="1" ht="15.75" thickBot="1">
      <c r="A23" s="646"/>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3" customWidth="1"/>
    <col min="2" max="9" width="15.75" style="1743" customWidth="1"/>
    <col min="10" max="16384" width="9" style="1743"/>
  </cols>
  <sheetData>
    <row r="1" spans="1:10" ht="16.5">
      <c r="A1" s="1748" t="s">
        <v>1366</v>
      </c>
      <c r="B1" s="1748">
        <f>SUM(B14:B23)</f>
        <v>66448.330000000016</v>
      </c>
      <c r="C1" s="1747"/>
      <c r="D1" s="1747"/>
      <c r="E1" s="1747"/>
      <c r="F1" s="1747"/>
      <c r="G1" s="1745"/>
    </row>
    <row r="2" spans="1:10" ht="16.5">
      <c r="A2" s="1748" t="s">
        <v>1354</v>
      </c>
      <c r="B2" s="1748">
        <f>SUM(C14:C23)</f>
        <v>9773.2199999999993</v>
      </c>
      <c r="C2" s="1747"/>
      <c r="D2" s="1747"/>
      <c r="E2" s="1747"/>
      <c r="F2" s="1747"/>
      <c r="G2" s="1745"/>
    </row>
    <row r="3" spans="1:10" ht="16.5">
      <c r="A3" s="1748" t="s">
        <v>1363</v>
      </c>
      <c r="B3" s="1749">
        <f>项目基本情况!D3</f>
        <v>43104</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85442</v>
      </c>
      <c r="C5" s="1748">
        <f ca="1">ROUND(B5*10000/$B$1,0)</f>
        <v>12858</v>
      </c>
      <c r="D5" s="1748">
        <f ca="1">ROUND(B5*10000/$B$2,0)</f>
        <v>87425</v>
      </c>
      <c r="E5" s="1747"/>
      <c r="F5" s="1745"/>
      <c r="G5" s="1745"/>
    </row>
    <row r="6" spans="1:10" ht="16.5">
      <c r="A6" s="1748" t="s">
        <v>1357</v>
      </c>
      <c r="B6" s="1748">
        <f ca="1">SUM(G14:G23)</f>
        <v>85442</v>
      </c>
      <c r="C6" s="1748">
        <f ca="1">ROUND(B6*10000/$B$1,0)</f>
        <v>12858</v>
      </c>
      <c r="D6" s="1748">
        <f ca="1">ROUND(B6*10000/$B$2,0)</f>
        <v>87425</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66448.330000000016</v>
      </c>
      <c r="C14" s="1746">
        <f>'数据-汇总表'!D3</f>
        <v>9773.2199999999993</v>
      </c>
      <c r="D14" s="1746">
        <f ca="1">结果表!H118</f>
        <v>85442</v>
      </c>
      <c r="E14" s="1746">
        <f ca="1">ROUND(D14*10000/B14,0)</f>
        <v>12858</v>
      </c>
      <c r="F14" s="1746">
        <f ca="1">ROUND(D14*10000/C14,0)</f>
        <v>87425</v>
      </c>
      <c r="G14" s="1746">
        <f ca="1">结果表!D122</f>
        <v>85442</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30" sqref="H30"/>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3133</v>
      </c>
      <c r="H1" s="2422" t="str">
        <f>IF(G1="现房","——","估价对象范围")</f>
        <v>——</v>
      </c>
      <c r="I1" s="2423"/>
    </row>
    <row r="2" spans="1:12" ht="21.75" customHeight="1" thickBot="1">
      <c r="A2" s="3230" t="str">
        <f>项目基本情况!S2</f>
        <v>北京市朝阳区东三环中路20、24号楼2幢商业用房房地产房地产</v>
      </c>
      <c r="B2" s="3231"/>
      <c r="C2" s="3231"/>
      <c r="D2" s="3231"/>
      <c r="E2" s="3231"/>
      <c r="F2" s="3231"/>
      <c r="G2" s="3231"/>
      <c r="H2" s="3231"/>
      <c r="I2" s="3232"/>
    </row>
    <row r="3" spans="1:12" ht="12.75">
      <c r="A3" s="3234" t="s">
        <v>2122</v>
      </c>
      <c r="B3" s="3235"/>
      <c r="C3" s="3235"/>
      <c r="D3" s="3235"/>
      <c r="E3" s="3235"/>
      <c r="F3" s="3235"/>
      <c r="G3" s="3235"/>
      <c r="H3" s="3235"/>
      <c r="I3" s="3235"/>
    </row>
    <row r="4" spans="1:12" ht="14.25">
      <c r="A4" s="2426" t="s">
        <v>2123</v>
      </c>
      <c r="B4" s="2427" t="s">
        <v>2124</v>
      </c>
      <c r="C4" s="2428" t="s">
        <v>3453</v>
      </c>
      <c r="D4" s="2428" t="s">
        <v>3454</v>
      </c>
      <c r="E4" s="3227" t="s">
        <v>2125</v>
      </c>
      <c r="F4" s="3228"/>
      <c r="G4" s="3228"/>
      <c r="H4" s="3228"/>
      <c r="I4" s="323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210" t="s">
        <v>2126</v>
      </c>
      <c r="B5" s="3148">
        <v>25</v>
      </c>
      <c r="C5" s="3213"/>
      <c r="D5" s="3233"/>
      <c r="E5" s="140" t="s">
        <v>2127</v>
      </c>
      <c r="F5" s="2430"/>
      <c r="G5" s="2430"/>
      <c r="H5" s="2430"/>
      <c r="I5" s="1836"/>
    </row>
    <row r="6" spans="1:12" ht="12.75">
      <c r="A6" s="3210"/>
      <c r="B6" s="3148"/>
      <c r="C6" s="3214"/>
      <c r="D6" s="3233"/>
      <c r="E6" s="140" t="s">
        <v>2128</v>
      </c>
      <c r="F6" s="2430"/>
      <c r="G6" s="2430"/>
      <c r="H6" s="2430"/>
      <c r="I6" s="1836"/>
    </row>
    <row r="7" spans="1:12" ht="12.75">
      <c r="A7" s="3210"/>
      <c r="B7" s="3148"/>
      <c r="C7" s="3215"/>
      <c r="D7" s="3233"/>
      <c r="E7" s="140" t="s">
        <v>2129</v>
      </c>
      <c r="F7" s="2430"/>
      <c r="G7" s="2430"/>
      <c r="H7" s="2430"/>
      <c r="I7" s="1836"/>
    </row>
    <row r="8" spans="1:12" ht="12.75">
      <c r="A8" s="3210" t="s">
        <v>2130</v>
      </c>
      <c r="B8" s="3148">
        <v>15</v>
      </c>
      <c r="C8" s="3213"/>
      <c r="D8" s="3233"/>
      <c r="E8" s="140" t="s">
        <v>2131</v>
      </c>
      <c r="F8" s="2430"/>
      <c r="G8" s="2430"/>
      <c r="H8" s="2430"/>
      <c r="I8" s="1836"/>
    </row>
    <row r="9" spans="1:12" ht="12.75">
      <c r="A9" s="3210"/>
      <c r="B9" s="3148"/>
      <c r="C9" s="3215"/>
      <c r="D9" s="3233"/>
      <c r="E9" s="140" t="s">
        <v>2132</v>
      </c>
      <c r="F9" s="2430"/>
      <c r="G9" s="2430"/>
      <c r="H9" s="2430"/>
      <c r="I9" s="1836"/>
    </row>
    <row r="10" spans="1:12" ht="12.75">
      <c r="A10" s="3210" t="s">
        <v>2133</v>
      </c>
      <c r="B10" s="3148">
        <v>15</v>
      </c>
      <c r="C10" s="3213"/>
      <c r="D10" s="3233"/>
      <c r="E10" s="140" t="s">
        <v>2134</v>
      </c>
      <c r="F10" s="2430"/>
      <c r="G10" s="2430"/>
      <c r="H10" s="2430"/>
      <c r="I10" s="1836"/>
    </row>
    <row r="11" spans="1:12" ht="12.75">
      <c r="A11" s="3210"/>
      <c r="B11" s="3148"/>
      <c r="C11" s="3215"/>
      <c r="D11" s="3233"/>
      <c r="E11" s="140" t="s">
        <v>2135</v>
      </c>
      <c r="F11" s="2430"/>
      <c r="G11" s="2430"/>
      <c r="H11" s="2430"/>
      <c r="I11" s="1836"/>
    </row>
    <row r="12" spans="1:12" ht="12.75">
      <c r="A12" s="3210" t="s">
        <v>2136</v>
      </c>
      <c r="B12" s="3148">
        <v>15</v>
      </c>
      <c r="C12" s="3213"/>
      <c r="D12" s="3233"/>
      <c r="E12" s="140" t="s">
        <v>2137</v>
      </c>
      <c r="F12" s="2430"/>
      <c r="G12" s="2430"/>
      <c r="H12" s="2430"/>
      <c r="I12" s="1836"/>
    </row>
    <row r="13" spans="1:12" ht="12.75">
      <c r="A13" s="3210"/>
      <c r="B13" s="3148"/>
      <c r="C13" s="3215"/>
      <c r="D13" s="3233"/>
      <c r="E13" s="140" t="s">
        <v>2138</v>
      </c>
      <c r="F13" s="2430"/>
      <c r="G13" s="2430"/>
      <c r="H13" s="2430"/>
      <c r="I13" s="1836"/>
    </row>
    <row r="14" spans="1:12" ht="12.75">
      <c r="A14" s="3210" t="s">
        <v>2139</v>
      </c>
      <c r="B14" s="3148">
        <v>30</v>
      </c>
      <c r="C14" s="3213">
        <v>5</v>
      </c>
      <c r="D14" s="3233">
        <v>5</v>
      </c>
      <c r="E14" s="140" t="s">
        <v>2140</v>
      </c>
      <c r="F14" s="2430"/>
      <c r="G14" s="2430"/>
      <c r="H14" s="2430"/>
      <c r="I14" s="1836"/>
    </row>
    <row r="15" spans="1:12" ht="12.75">
      <c r="A15" s="3210"/>
      <c r="B15" s="3148"/>
      <c r="C15" s="3214"/>
      <c r="D15" s="3233"/>
      <c r="E15" s="140" t="s">
        <v>2141</v>
      </c>
      <c r="F15" s="2430"/>
      <c r="G15" s="2430"/>
      <c r="H15" s="2430"/>
      <c r="I15" s="1836"/>
    </row>
    <row r="16" spans="1:12" ht="12.75">
      <c r="A16" s="3210"/>
      <c r="B16" s="3148"/>
      <c r="C16" s="3215"/>
      <c r="D16" s="3233"/>
      <c r="E16" s="140" t="s">
        <v>2142</v>
      </c>
      <c r="F16" s="2430"/>
      <c r="G16" s="2430"/>
      <c r="H16" s="2430"/>
      <c r="I16" s="1836"/>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f ca="1">SUMIF(INDIRECT("'"&amp;C4&amp;"'"&amp;"!A:A"),结果表!B19,INDIRECT("'"&amp;C4&amp;"'"&amp;"!B:B"))</f>
        <v>127600</v>
      </c>
      <c r="D19" s="144">
        <f ca="1">SUMIF(INDIRECT("'"&amp;D4&amp;"'"&amp;"!A:A"),结果表!B19,INDIRECT("'"&amp;D4&amp;"'"&amp;"!B:B"))</f>
        <v>43284</v>
      </c>
      <c r="E19" s="2435" t="s">
        <v>2150</v>
      </c>
      <c r="F19" s="2436" t="s">
        <v>2149</v>
      </c>
      <c r="G19" s="145">
        <f ca="1">ROUND(C19*$C$18+D19*$D$18,0)</f>
        <v>85442</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f ca="1">SUMIF(INDIRECT("'"&amp;C4&amp;"'"&amp;"!A:A"),结果表!B20,INDIRECT("'"&amp;C4&amp;"'"&amp;"!B:B"))</f>
        <v>19203</v>
      </c>
      <c r="D20" s="147">
        <f ca="1">SUMIF(INDIRECT("'"&amp;D4&amp;"'"&amp;"!A:A"),结果表!B20,INDIRECT("'"&amp;D4&amp;"'"&amp;"!B:B"))</f>
        <v>6514</v>
      </c>
      <c r="E20" s="2438"/>
      <c r="F20" s="1251" t="s">
        <v>2153</v>
      </c>
      <c r="G20" s="148">
        <f ca="1">ROUND(C20*$C$18+D20*$D$18,0)</f>
        <v>12859</v>
      </c>
      <c r="H20" s="984" t="s">
        <v>2154</v>
      </c>
      <c r="I20" s="138"/>
    </row>
    <row r="21" spans="1:35" ht="15" customHeight="1" thickBot="1">
      <c r="A21" s="1004"/>
      <c r="B21" s="2439" t="s">
        <v>2155</v>
      </c>
      <c r="C21" s="790">
        <f ca="1">ROUND(C19*10000/L19,0)</f>
        <v>130561</v>
      </c>
      <c r="D21" s="791">
        <f ca="1">ROUND(D19*10000/L19,0)</f>
        <v>44288</v>
      </c>
      <c r="E21" s="1004"/>
      <c r="F21" s="2439" t="s">
        <v>2155</v>
      </c>
      <c r="G21" s="149">
        <f ca="1">ROUND(G19*10000/L19,0)</f>
        <v>87425</v>
      </c>
      <c r="H21" s="2440" t="s">
        <v>2154</v>
      </c>
      <c r="I21" s="138"/>
    </row>
    <row r="22" spans="1:35" ht="15" thickBot="1">
      <c r="A22" s="2281" t="s">
        <v>2156</v>
      </c>
      <c r="B22" s="2441"/>
      <c r="C22" s="2442"/>
      <c r="D22" s="792">
        <f ca="1">IF(C19&lt;D19,D19/C19-1,C19/D19-1)</f>
        <v>1.9479715368265409</v>
      </c>
      <c r="E22" s="138"/>
      <c r="F22" s="138"/>
      <c r="G22" s="138"/>
      <c r="H22" s="138"/>
      <c r="I22" s="138"/>
    </row>
    <row r="23" spans="1:35" ht="13.5" thickBot="1">
      <c r="A23" s="2419"/>
      <c r="B23" s="2419"/>
      <c r="C23" s="2419"/>
      <c r="D23" s="2419"/>
      <c r="E23" s="138"/>
      <c r="F23" s="138"/>
      <c r="G23" s="138"/>
      <c r="H23" s="138"/>
      <c r="I23" s="138"/>
    </row>
    <row r="24" spans="1:35" ht="14.25">
      <c r="A24" s="3204" t="s">
        <v>2157</v>
      </c>
      <c r="B24" s="2436" t="s">
        <v>2149</v>
      </c>
      <c r="C24" s="145">
        <f>IF(B30=0,0,D30)</f>
        <v>0</v>
      </c>
      <c r="D24" s="2443"/>
      <c r="E24" s="138"/>
      <c r="F24" s="138"/>
      <c r="G24" s="138"/>
      <c r="H24" s="138"/>
      <c r="I24" s="138"/>
    </row>
    <row r="25" spans="1:35" ht="14.25">
      <c r="A25" s="3205"/>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85442</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22" t="s">
        <v>2171</v>
      </c>
      <c r="B36" s="2462" t="s">
        <v>2172</v>
      </c>
      <c r="C36" s="155"/>
      <c r="D36" s="2463"/>
      <c r="E36" s="2464"/>
      <c r="F36" s="2465"/>
      <c r="G36" s="138"/>
      <c r="H36" s="138"/>
      <c r="I36" s="138"/>
    </row>
    <row r="37" spans="1:15" ht="15.75" thickBot="1">
      <c r="A37" s="3223"/>
      <c r="B37" s="2267" t="s">
        <v>2173</v>
      </c>
      <c r="C37" s="157"/>
      <c r="D37" s="1396"/>
      <c r="E37" s="1396"/>
      <c r="F37" s="2465"/>
      <c r="G37" s="138"/>
      <c r="H37" s="138"/>
      <c r="I37" s="138"/>
    </row>
    <row r="38" spans="1:15" ht="15.75" thickBot="1">
      <c r="A38" s="3224"/>
      <c r="B38" s="2466" t="s">
        <v>2174</v>
      </c>
      <c r="C38" s="728"/>
      <c r="D38" s="2467" t="s">
        <v>2175</v>
      </c>
      <c r="E38" s="1396"/>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01" t="s">
        <v>2185</v>
      </c>
      <c r="B45" s="3202"/>
      <c r="C45" s="3203"/>
      <c r="D45" s="165">
        <f ca="1">ROUND(H101*F45,0)</f>
        <v>85442</v>
      </c>
      <c r="E45" s="166" t="s">
        <v>2186</v>
      </c>
      <c r="F45" s="167">
        <v>1</v>
      </c>
      <c r="G45" s="168" t="s">
        <v>2187</v>
      </c>
      <c r="H45" s="138"/>
      <c r="I45" s="138"/>
      <c r="J45" s="3261" t="s">
        <v>2188</v>
      </c>
      <c r="K45" s="3261"/>
      <c r="L45" s="3261"/>
      <c r="M45" s="3261"/>
      <c r="N45" s="3261"/>
      <c r="O45" s="3261"/>
    </row>
    <row r="46" spans="1:15" ht="14.25" customHeight="1">
      <c r="A46" s="3198" t="s">
        <v>2189</v>
      </c>
      <c r="B46" s="3199"/>
      <c r="C46" s="3199"/>
      <c r="D46" s="3199"/>
      <c r="E46" s="3199"/>
      <c r="F46" s="3199"/>
      <c r="G46" s="3200"/>
      <c r="H46" s="2481"/>
      <c r="I46" s="169"/>
      <c r="J46" s="1814">
        <v>1</v>
      </c>
      <c r="K46" s="3261" t="s">
        <v>2190</v>
      </c>
      <c r="L46" s="3261"/>
      <c r="M46" s="3281"/>
      <c r="N46" s="3281"/>
      <c r="O46" s="3281"/>
    </row>
    <row r="47" spans="1:15" ht="12" customHeight="1">
      <c r="A47" s="170" t="s">
        <v>2191</v>
      </c>
      <c r="B47" s="171"/>
      <c r="C47" s="172"/>
      <c r="D47" s="173" t="s">
        <v>2192</v>
      </c>
      <c r="E47" s="24" t="s">
        <v>2193</v>
      </c>
      <c r="F47" s="174" t="s">
        <v>2194</v>
      </c>
      <c r="G47" s="175" t="s">
        <v>2195</v>
      </c>
      <c r="H47" s="2481"/>
      <c r="I47" s="169"/>
      <c r="J47" s="1814">
        <v>2</v>
      </c>
      <c r="K47" s="3261" t="s">
        <v>2196</v>
      </c>
      <c r="L47" s="3261"/>
      <c r="M47" s="3282">
        <f>'数据-取费表'!B2</f>
        <v>43104</v>
      </c>
      <c r="N47" s="3282"/>
      <c r="O47" s="3282"/>
    </row>
    <row r="48" spans="1:15" ht="25.5">
      <c r="A48" s="3229" t="s">
        <v>2197</v>
      </c>
      <c r="B48" s="3212"/>
      <c r="C48" s="3212"/>
      <c r="D48" s="140">
        <f>IF(H48="情况1",0,IF(H48="情况2",D52,IF(H48="情况3",D53,IF(H48="情况4",D54))))</f>
        <v>0</v>
      </c>
      <c r="E48" s="1803" t="str">
        <f>IF(H48="情况4","(销售额-原购置价)×税（费）率","销售额×税（费）率")</f>
        <v>销售额×税（费）率</v>
      </c>
      <c r="F48" s="176" t="str">
        <f>IF(H48="情况1","免征",'数据-取费表'!B41)</f>
        <v>免征</v>
      </c>
      <c r="G48" s="2482" t="s">
        <v>2198</v>
      </c>
      <c r="H48" s="2483" t="s">
        <v>2199</v>
      </c>
      <c r="I48" s="2481"/>
      <c r="J48" s="1814">
        <v>3</v>
      </c>
      <c r="K48" s="3261" t="s">
        <v>2200</v>
      </c>
      <c r="L48" s="3261"/>
      <c r="M48" s="3283">
        <f ca="1">H101</f>
        <v>85442</v>
      </c>
      <c r="N48" s="3283"/>
      <c r="O48" s="3283"/>
    </row>
    <row r="49" spans="1:35" ht="25.5" customHeight="1">
      <c r="A49" s="177" t="s">
        <v>2201</v>
      </c>
      <c r="B49" s="3197" t="s">
        <v>2202</v>
      </c>
      <c r="C49" s="3197"/>
      <c r="D49" s="178">
        <v>0</v>
      </c>
      <c r="E49" s="23" t="s">
        <v>2203</v>
      </c>
      <c r="F49" s="28" t="s">
        <v>34</v>
      </c>
      <c r="G49" s="3267"/>
      <c r="H49" s="138"/>
      <c r="I49" s="2484"/>
      <c r="J49" s="1814">
        <v>4</v>
      </c>
      <c r="K49" s="3261" t="str">
        <f>IF(项目基本情况!E8="房地产抵押价值","房地产抵押价值","抵押担保权已注销时的房地产抵押价值")</f>
        <v>房地产抵押价值</v>
      </c>
      <c r="L49" s="3261"/>
      <c r="M49" s="3283">
        <f ca="1">IF(项目基本情况!E8="房地产抵押价值",H107,H109)</f>
        <v>85442</v>
      </c>
      <c r="N49" s="3283"/>
      <c r="O49" s="3283"/>
    </row>
    <row r="50" spans="1:35" ht="25.5" customHeight="1">
      <c r="A50" s="179"/>
      <c r="B50" s="3197" t="s">
        <v>2204</v>
      </c>
      <c r="C50" s="3197"/>
      <c r="D50" s="180"/>
      <c r="E50" s="31"/>
      <c r="F50" s="181"/>
      <c r="G50" s="3268"/>
      <c r="H50" s="138"/>
      <c r="I50" s="2484"/>
      <c r="J50" s="3261" t="s">
        <v>2205</v>
      </c>
      <c r="K50" s="3261"/>
      <c r="L50" s="3261"/>
      <c r="M50" s="3261"/>
      <c r="N50" s="3261"/>
      <c r="O50" s="3261"/>
    </row>
    <row r="51" spans="1:35" ht="12" customHeight="1">
      <c r="A51" s="182"/>
      <c r="B51" s="3197" t="s">
        <v>2206</v>
      </c>
      <c r="C51" s="3197"/>
      <c r="D51" s="183"/>
      <c r="E51" s="30"/>
      <c r="F51" s="181"/>
      <c r="G51" s="3269"/>
      <c r="H51" s="138"/>
      <c r="I51" s="2484"/>
      <c r="J51" s="2485" t="s">
        <v>2207</v>
      </c>
      <c r="K51" s="3261" t="s">
        <v>2208</v>
      </c>
      <c r="L51" s="3261"/>
      <c r="M51" s="2485" t="s">
        <v>2209</v>
      </c>
      <c r="N51" s="2485" t="s">
        <v>2210</v>
      </c>
      <c r="O51" s="2485" t="s">
        <v>2211</v>
      </c>
    </row>
    <row r="52" spans="1:35" ht="24" customHeight="1">
      <c r="A52" s="184" t="s">
        <v>2212</v>
      </c>
      <c r="B52" s="3197" t="s">
        <v>2213</v>
      </c>
      <c r="C52" s="3197"/>
      <c r="D52" s="183">
        <f ca="1">ROUND(D45*'数据-取费表'!B41/(1+'数据-取费表'!C42),0)</f>
        <v>4557</v>
      </c>
      <c r="E52" s="11" t="s">
        <v>2214</v>
      </c>
      <c r="F52" s="185">
        <f>'数据-取费表'!B41</f>
        <v>5.6000000000000001E-2</v>
      </c>
      <c r="G52" s="2486"/>
      <c r="H52" s="138"/>
      <c r="I52" s="2484"/>
      <c r="J52" s="1814">
        <v>1</v>
      </c>
      <c r="K52" s="3262" t="s">
        <v>2215</v>
      </c>
      <c r="L52" s="3262"/>
      <c r="M52" s="1756">
        <f>D48</f>
        <v>0</v>
      </c>
      <c r="N52" s="1814" t="str">
        <f>E48</f>
        <v>销售额×税（费）率</v>
      </c>
      <c r="O52" s="1757" t="str">
        <f>F48</f>
        <v>免征</v>
      </c>
    </row>
    <row r="53" spans="1:35" ht="12" customHeight="1">
      <c r="A53" s="184" t="s">
        <v>2216</v>
      </c>
      <c r="B53" s="3220" t="s">
        <v>2217</v>
      </c>
      <c r="C53" s="3221"/>
      <c r="D53" s="183">
        <f ca="1">ROUND(D45*'数据-取费表'!B41/(1+'数据-取费表'!C42),0)</f>
        <v>4557</v>
      </c>
      <c r="E53" s="11" t="s">
        <v>2214</v>
      </c>
      <c r="F53" s="185">
        <f>'数据-取费表'!B41</f>
        <v>5.6000000000000001E-2</v>
      </c>
      <c r="G53" s="2486"/>
      <c r="H53" s="138"/>
      <c r="I53" s="2484"/>
      <c r="J53" s="1814">
        <v>2</v>
      </c>
      <c r="K53" s="3262" t="s">
        <v>2218</v>
      </c>
      <c r="L53" s="3262"/>
      <c r="M53" s="1756">
        <f t="shared" ref="M53:O54" ca="1" si="0">D55</f>
        <v>43</v>
      </c>
      <c r="N53" s="1814" t="str">
        <f t="shared" si="0"/>
        <v>销售额×税（费）率</v>
      </c>
      <c r="O53" s="1757">
        <f t="shared" si="0"/>
        <v>5.0000000000000001E-4</v>
      </c>
    </row>
    <row r="54" spans="1:35" ht="12" customHeight="1">
      <c r="A54" s="184" t="s">
        <v>2219</v>
      </c>
      <c r="B54" s="3220" t="s">
        <v>2220</v>
      </c>
      <c r="C54" s="3221"/>
      <c r="D54" s="183">
        <f ca="1">C68</f>
        <v>4557</v>
      </c>
      <c r="E54" s="30" t="s">
        <v>2221</v>
      </c>
      <c r="F54" s="185">
        <f>'数据-取费表'!B41</f>
        <v>5.6000000000000001E-2</v>
      </c>
      <c r="G54" s="2486"/>
      <c r="H54" s="2487"/>
      <c r="I54" s="2484"/>
      <c r="J54" s="1814">
        <v>3</v>
      </c>
      <c r="K54" s="3262" t="s">
        <v>2222</v>
      </c>
      <c r="L54" s="3262"/>
      <c r="M54" s="1756">
        <f t="shared" ca="1" si="0"/>
        <v>48360</v>
      </c>
      <c r="N54" s="1814" t="str">
        <f t="shared" si="0"/>
        <v>增值额×税（费）率</v>
      </c>
      <c r="O54" s="1758" t="str">
        <f t="shared" si="0"/>
        <v>——</v>
      </c>
    </row>
    <row r="55" spans="1:35" ht="24" customHeight="1">
      <c r="A55" s="3211" t="s">
        <v>2223</v>
      </c>
      <c r="B55" s="3212"/>
      <c r="C55" s="3212"/>
      <c r="D55" s="186">
        <f ca="1">IF(H55="个人住宅",0,ROUND(D45*I55,0))</f>
        <v>43</v>
      </c>
      <c r="E55" s="11" t="s">
        <v>2224</v>
      </c>
      <c r="F55" s="185">
        <f>IF(H55="正常",I55,"免征")</f>
        <v>5.0000000000000001E-4</v>
      </c>
      <c r="G55" s="2486"/>
      <c r="H55" s="2483" t="s">
        <v>2225</v>
      </c>
      <c r="I55" s="187">
        <f>'数据-取费表'!B49</f>
        <v>5.0000000000000001E-4</v>
      </c>
      <c r="J55" s="1814" t="str">
        <f>IF(H59="非个人房产","",4)</f>
        <v/>
      </c>
      <c r="K55" s="3262" t="str">
        <f>IF(H59="非个人房产","——","个人所得税")</f>
        <v>——</v>
      </c>
      <c r="L55" s="3262"/>
      <c r="M55" s="1759" t="str">
        <f>D59</f>
        <v>——</v>
      </c>
      <c r="N55" s="1812" t="str">
        <f>E59</f>
        <v>——</v>
      </c>
      <c r="O55" s="1760" t="str">
        <f>F59</f>
        <v>——</v>
      </c>
    </row>
    <row r="56" spans="1:35" ht="24.75">
      <c r="A56" s="3211" t="s">
        <v>2226</v>
      </c>
      <c r="B56" s="3212"/>
      <c r="C56" s="3212"/>
      <c r="D56" s="186">
        <f ca="1">IF(H56="个人住宅",D57,D58)</f>
        <v>48360</v>
      </c>
      <c r="E56" s="11" t="s">
        <v>2227</v>
      </c>
      <c r="F56" s="185" t="str">
        <f>IF(H56="正常",F58,"免征")</f>
        <v>——</v>
      </c>
      <c r="G56" s="2488" t="s">
        <v>2228</v>
      </c>
      <c r="H56" s="2489" t="s">
        <v>2225</v>
      </c>
      <c r="I56" s="2490"/>
      <c r="J56" s="1814" t="str">
        <f>IF(项目基本情况!K6="上海银行",IF(J55="",4,J55+1),"")</f>
        <v/>
      </c>
      <c r="K56" s="3285" t="str">
        <f>IF(项目基本情况!K6="上海银行","其他处置费用","")</f>
        <v/>
      </c>
      <c r="L56" s="3286"/>
      <c r="M56" s="1756" t="str">
        <f>IF(项目基本情况!K6="上海银行",M69,"")</f>
        <v/>
      </c>
      <c r="N56" s="3288" t="str">
        <f>IF(项目基本情况!K6="上海银行","包含处置中涉及的律师、诉讼、拍卖、评估等费用","")</f>
        <v/>
      </c>
      <c r="O56" s="3289"/>
    </row>
    <row r="57" spans="1:35" ht="12.75">
      <c r="A57" s="184" t="s">
        <v>2201</v>
      </c>
      <c r="B57" s="3227" t="s">
        <v>2229</v>
      </c>
      <c r="C57" s="3236"/>
      <c r="D57" s="188">
        <v>0</v>
      </c>
      <c r="E57" s="23" t="s">
        <v>2203</v>
      </c>
      <c r="F57" s="156"/>
      <c r="G57" s="2486"/>
      <c r="H57" s="2490"/>
      <c r="I57" s="2490"/>
      <c r="J57" s="3262">
        <f>IF(AND(J55="",J56=""),4,IF(项目基本情况!K6="上海银行",结果表!J56+1,结果表!J55+1))</f>
        <v>4</v>
      </c>
      <c r="K57" s="3262" t="s">
        <v>2230</v>
      </c>
      <c r="L57" s="2491" t="s">
        <v>2231</v>
      </c>
      <c r="M57" s="1761"/>
      <c r="N57" s="1762">
        <f ca="1">SUMIF(M52:M56,"&lt;9e307")</f>
        <v>48403</v>
      </c>
      <c r="O57" s="2492"/>
      <c r="P57" s="1755">
        <f ca="1">N57/M49</f>
        <v>0.56650125231150961</v>
      </c>
    </row>
    <row r="58" spans="1:35" ht="24.75">
      <c r="A58" s="184" t="s">
        <v>2212</v>
      </c>
      <c r="B58" s="3227" t="s">
        <v>2232</v>
      </c>
      <c r="C58" s="3228"/>
      <c r="D58" s="186">
        <f ca="1">IF(H58="转让取得",C81,C97)</f>
        <v>48360</v>
      </c>
      <c r="E58" s="11" t="s">
        <v>2227</v>
      </c>
      <c r="F58" s="24" t="s">
        <v>34</v>
      </c>
      <c r="G58" s="2486"/>
      <c r="H58" s="2489" t="s">
        <v>2233</v>
      </c>
      <c r="I58" s="2490"/>
      <c r="J58" s="3262"/>
      <c r="K58" s="3262"/>
      <c r="L58" s="2491" t="s">
        <v>2234</v>
      </c>
      <c r="M58" s="1763"/>
      <c r="N58" s="2493" t="str">
        <f ca="1">NUMBERSTRING(INT(N57*10000),2)&amp;"元整"</f>
        <v>肆亿捌仟肆佰零叁万元整</v>
      </c>
      <c r="O58" s="2494"/>
    </row>
    <row r="59" spans="1:35" ht="24.75" thickBot="1">
      <c r="A59" s="3265" t="s">
        <v>2235</v>
      </c>
      <c r="B59" s="3266"/>
      <c r="C59" s="3266"/>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63">
        <f>J57+1</f>
        <v>5</v>
      </c>
      <c r="K59" s="3262" t="s">
        <v>2237</v>
      </c>
      <c r="L59" s="1814" t="s">
        <v>2231</v>
      </c>
      <c r="M59" s="1764"/>
      <c r="N59" s="1765">
        <f ca="1">M49-N57</f>
        <v>37039</v>
      </c>
      <c r="O59" s="2496"/>
    </row>
    <row r="60" spans="1:35" ht="12" customHeight="1">
      <c r="A60" s="2497"/>
      <c r="B60" s="2419"/>
      <c r="C60" s="2419"/>
      <c r="D60" s="2419"/>
      <c r="E60" s="2167"/>
      <c r="F60" s="2490"/>
      <c r="G60" s="2490"/>
      <c r="H60" s="2498"/>
      <c r="I60" s="138"/>
      <c r="J60" s="3264"/>
      <c r="K60" s="3262"/>
      <c r="L60" s="2491" t="s">
        <v>2234</v>
      </c>
      <c r="M60" s="1763"/>
      <c r="N60" s="2493" t="str">
        <f ca="1">NUMBERSTRING(INT(N59*10000),2)&amp;"元整"</f>
        <v>叁亿柒仟零叁拾玖万元整</v>
      </c>
      <c r="O60" s="2494"/>
    </row>
    <row r="61" spans="1:35" ht="13.5" thickBot="1">
      <c r="A61" s="3209" t="s">
        <v>2238</v>
      </c>
      <c r="B61" s="3209"/>
      <c r="C61" s="3209"/>
      <c r="D61" s="3209"/>
      <c r="E61" s="3209"/>
      <c r="F61" s="2490"/>
      <c r="G61" s="2490"/>
      <c r="H61" s="2498"/>
      <c r="I61" s="138"/>
      <c r="J61" s="1814">
        <f>J59+1</f>
        <v>6</v>
      </c>
      <c r="K61" s="3262" t="s">
        <v>2239</v>
      </c>
      <c r="L61" s="3262"/>
      <c r="M61" s="1766"/>
      <c r="N61" s="1767">
        <f ca="1">ROUND(N59*10000/'数据-汇总表'!E3,0)</f>
        <v>5574</v>
      </c>
      <c r="O61" s="2499"/>
    </row>
    <row r="62" spans="1:35" ht="12.75">
      <c r="A62" s="3225" t="s">
        <v>2240</v>
      </c>
      <c r="B62" s="3226"/>
      <c r="C62" s="1806"/>
      <c r="D62" s="1806" t="s">
        <v>2241</v>
      </c>
      <c r="E62" s="193" t="s">
        <v>2242</v>
      </c>
      <c r="F62" s="2490"/>
      <c r="G62" s="2490"/>
      <c r="H62" s="2498"/>
      <c r="I62" s="138"/>
    </row>
    <row r="63" spans="1:35" ht="12.75">
      <c r="A63" s="204" t="s">
        <v>775</v>
      </c>
      <c r="B63" s="194" t="s">
        <v>2243</v>
      </c>
      <c r="C63" s="195">
        <f ca="1">ROUND((C64+C65)/(1+'数据-取费表'!C42),0)</f>
        <v>81373</v>
      </c>
      <c r="D63" s="196"/>
      <c r="E63" s="197"/>
      <c r="F63" s="2490"/>
      <c r="G63" s="2490"/>
      <c r="H63" s="2498"/>
      <c r="I63" s="138"/>
      <c r="J63" s="3287" t="s">
        <v>2244</v>
      </c>
      <c r="K63" s="2500" t="s">
        <v>2245</v>
      </c>
      <c r="L63" s="1754">
        <f ca="1">IF(M49&gt;10000,M49*0.5%,IF(AND(M49&gt;1000,M49&lt;=10000),M49*1%,IF(AND(M49&gt;100,M49&lt;=1000),M49*3%,IF(AND(M49&gt;10,M49&lt;=100),M49*5%,M49*8%))))</f>
        <v>427.21000000000004</v>
      </c>
      <c r="M63" s="24">
        <f ca="1">ROUND(L63,1)</f>
        <v>427.2</v>
      </c>
      <c r="Z63" s="2424"/>
      <c r="AI63" s="2425"/>
    </row>
    <row r="64" spans="1:35" ht="14.25" customHeight="1">
      <c r="A64" s="198" t="s">
        <v>770</v>
      </c>
      <c r="B64" s="199" t="s">
        <v>2246</v>
      </c>
      <c r="C64" s="200">
        <f ca="1">D45</f>
        <v>85442</v>
      </c>
      <c r="D64" s="201" t="s">
        <v>32</v>
      </c>
      <c r="E64" s="202"/>
      <c r="F64" s="2490"/>
      <c r="G64" s="2490"/>
      <c r="H64" s="2498"/>
      <c r="I64" s="138"/>
      <c r="J64" s="3287"/>
      <c r="K64" s="2500" t="s">
        <v>2247</v>
      </c>
      <c r="L64" s="1754">
        <f ca="1">IF(M49&gt;2000,M49*0.5%,IF(AND(M49&gt;1000,M49&lt;=2000),M49*0.6%,IF(AND(M49&gt;500,M49&lt;=1000),M49*0.7%,IF(AND(M49&gt;200,M49&lt;=500),M49*0.8%,IF(AND(M49&gt;100,M49&lt;=200),M49*0.9%,IF(AND(M49&gt;50,M49&lt;=100),M49*1%,IF(AND(M49&gt;20,M49&lt;=50),M49*1.5%,IF(AND(M49&gt;10,M49&lt;=20),M49*2%,IF(AND(M49&gt;1,M49&lt;=10),M49*2.5%)))))))))</f>
        <v>427.21000000000004</v>
      </c>
      <c r="M64" s="24">
        <f t="shared" ref="M64:M65" ca="1" si="1">ROUND(L64,1)</f>
        <v>427.2</v>
      </c>
      <c r="N64" s="138" t="s">
        <v>2248</v>
      </c>
      <c r="Z64" s="2424"/>
      <c r="AI64" s="2425"/>
    </row>
    <row r="65" spans="1:35" ht="14.25" customHeight="1">
      <c r="A65" s="198" t="s">
        <v>771</v>
      </c>
      <c r="B65" s="199" t="s">
        <v>2249</v>
      </c>
      <c r="C65" s="203"/>
      <c r="D65" s="201"/>
      <c r="E65" s="202"/>
      <c r="F65" s="2490"/>
      <c r="G65" s="2490"/>
      <c r="H65" s="2498"/>
      <c r="I65" s="138"/>
      <c r="J65" s="3287"/>
      <c r="K65" s="2500" t="s">
        <v>2250</v>
      </c>
      <c r="L65" s="1754">
        <f ca="1">IF(M49&gt;1000,M49*0.1%,IF(AND(M49&gt;500,M49&lt;=1000),M49*0.5%,IF(AND(M49&gt;50,M49&lt;=500),M49*1%,IF(AND(M49&gt;1,M49&lt;=50),M49*1.5%))))</f>
        <v>85.442000000000007</v>
      </c>
      <c r="M65" s="24">
        <f t="shared" ca="1" si="1"/>
        <v>85.4</v>
      </c>
      <c r="N65" s="138" t="s">
        <v>2248</v>
      </c>
      <c r="Z65" s="2424"/>
      <c r="AI65" s="2425"/>
    </row>
    <row r="66" spans="1:35" ht="14.25" customHeight="1">
      <c r="A66" s="204" t="s">
        <v>772</v>
      </c>
      <c r="B66" s="205" t="s">
        <v>2251</v>
      </c>
      <c r="C66" s="206"/>
      <c r="D66" s="207" t="s">
        <v>32</v>
      </c>
      <c r="E66" s="1778" t="s">
        <v>1372</v>
      </c>
      <c r="F66" s="2490"/>
      <c r="G66" s="2490"/>
      <c r="H66" s="2498"/>
      <c r="I66" s="138"/>
      <c r="J66" s="3287"/>
      <c r="K66" s="2500" t="s">
        <v>2252</v>
      </c>
      <c r="L66" s="1754">
        <f ca="1">M49*0.5%</f>
        <v>427.21000000000004</v>
      </c>
      <c r="M66" s="24">
        <f ca="1">IF(L66&gt;0.5,0.5,ROUND(L66,0))</f>
        <v>0.5</v>
      </c>
      <c r="N66" s="138" t="s">
        <v>2253</v>
      </c>
      <c r="Z66" s="2424"/>
      <c r="AI66" s="2425"/>
    </row>
    <row r="67" spans="1:35" ht="14.25" customHeight="1">
      <c r="A67" s="204" t="s">
        <v>773</v>
      </c>
      <c r="B67" s="205" t="s">
        <v>2254</v>
      </c>
      <c r="C67" s="208">
        <f ca="1">C63-C66</f>
        <v>81373</v>
      </c>
      <c r="D67" s="201" t="s">
        <v>32</v>
      </c>
      <c r="E67" s="202"/>
      <c r="F67" s="2490"/>
      <c r="G67" s="2490"/>
      <c r="H67" s="2498"/>
      <c r="I67" s="138"/>
      <c r="J67" s="3287"/>
      <c r="K67" s="2500" t="s">
        <v>2255</v>
      </c>
      <c r="L67" s="1754">
        <f ca="1">IF(M49&gt;=10000,(8.25+(M49-10000)*0.01%),IF(AND(M49&gt;=8000,M49&lt;10000),(7.85+(M49-8000)*0.02%),IF(AND(M49&gt;=5000,M49&lt;8000),(6.65+(M49-5000)*0.04%),IF(AND(M49&gt;=2000,M49&lt;5000),(4.25+(PM49-2000)*0.08%),IF(AND(M49&gt;=1000,M49&lt;2000),(2.75+(M49-1000)*0.15%),IF(AND(M49&gt;=100,M49&lt;1000),(0.5+(M49-100)*0.25%),IF(AND(M49&gt;0,M49&lt;100),M49*0.5%)))))))</f>
        <v>15.7942</v>
      </c>
      <c r="M67" s="24">
        <f ca="1">ROUND(L67*0.9,1)</f>
        <v>14.2</v>
      </c>
      <c r="Z67" s="2424"/>
      <c r="AI67" s="2425"/>
    </row>
    <row r="68" spans="1:35" ht="14.25" customHeight="1" thickBot="1">
      <c r="A68" s="209" t="s">
        <v>774</v>
      </c>
      <c r="B68" s="210" t="s">
        <v>2256</v>
      </c>
      <c r="C68" s="211">
        <f ca="1">IF(C67&lt;=0,0,ROUND(C67*D68,0))</f>
        <v>4557</v>
      </c>
      <c r="D68" s="212">
        <f>'数据-取费表'!B41</f>
        <v>5.6000000000000001E-2</v>
      </c>
      <c r="E68" s="213"/>
      <c r="F68" s="2490"/>
      <c r="G68" s="2490"/>
      <c r="H68" s="2498"/>
      <c r="I68" s="138"/>
      <c r="J68" s="3287"/>
      <c r="K68" s="2500" t="s">
        <v>2257</v>
      </c>
      <c r="L68" s="1754">
        <f ca="1">IF(M49&gt;10000,M49*0.5%,IF(AND(M49&gt;5000,M49&lt;=10000),M49*1%,IF(AND(M49&gt;1000,M49&lt;=5000),M49*2%,IF(AND(M49&gt;200,M49&lt;=1000),M49*3%,M49*5%))))</f>
        <v>427.21000000000004</v>
      </c>
      <c r="M68" s="24">
        <f ca="1">ROUND(L68,1)</f>
        <v>427.2</v>
      </c>
      <c r="Z68" s="2424"/>
      <c r="AI68" s="2425"/>
    </row>
    <row r="69" spans="1:35" s="2447" customFormat="1" ht="16.5" customHeight="1">
      <c r="A69" s="2501"/>
      <c r="B69" s="2502"/>
      <c r="C69" s="2503"/>
      <c r="D69" s="2504"/>
      <c r="E69" s="2505"/>
      <c r="F69" s="2167"/>
      <c r="G69" s="2167"/>
      <c r="H69" s="2166"/>
      <c r="I69" s="2419"/>
      <c r="J69" s="3287"/>
      <c r="K69" s="2500" t="s">
        <v>2258</v>
      </c>
      <c r="L69" s="2506"/>
      <c r="M69" s="24">
        <f ca="1">ROUND(SUM(M63:M68),0)</f>
        <v>1382</v>
      </c>
      <c r="N69" s="1755">
        <f ca="1">M69/M49</f>
        <v>1.617471501135273E-2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6" t="s">
        <v>2259</v>
      </c>
      <c r="B70" s="3247"/>
      <c r="C70" s="3247"/>
      <c r="D70" s="3247"/>
      <c r="E70" s="3247"/>
      <c r="F70" s="3247"/>
      <c r="G70" s="3247"/>
      <c r="H70" s="32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25" t="s">
        <v>2240</v>
      </c>
      <c r="B71" s="3226"/>
      <c r="C71" s="1806"/>
      <c r="D71" s="1806"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81373</v>
      </c>
      <c r="D72" s="201" t="s">
        <v>32</v>
      </c>
      <c r="E72" s="1805"/>
      <c r="F72" s="1799"/>
      <c r="G72" s="1799"/>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488</v>
      </c>
      <c r="D73" s="201" t="s">
        <v>32</v>
      </c>
      <c r="E73" s="1805"/>
      <c r="F73" s="1799"/>
      <c r="G73" s="1799"/>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5"/>
      <c r="F74" s="1799"/>
      <c r="G74" s="1799"/>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20" t="s">
        <v>2268</v>
      </c>
      <c r="F76" s="3197"/>
      <c r="G76" s="3197"/>
      <c r="H76" s="32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10"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488</v>
      </c>
      <c r="D78" s="227">
        <f>'数据-取费表'!B43</f>
        <v>6.000000000000001E-3</v>
      </c>
      <c r="E78" s="3206" t="s">
        <v>2273</v>
      </c>
      <c r="F78" s="3207"/>
      <c r="G78" s="3207"/>
      <c r="H78" s="321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80885</v>
      </c>
      <c r="D79" s="201" t="s">
        <v>32</v>
      </c>
      <c r="E79" s="1805"/>
      <c r="F79" s="1799"/>
      <c r="G79" s="1799"/>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165.74795081967213</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48360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6" t="s">
        <v>2277</v>
      </c>
      <c r="B83" s="3247"/>
      <c r="C83" s="3247"/>
      <c r="D83" s="3247"/>
      <c r="E83" s="3247"/>
      <c r="F83" s="3247"/>
      <c r="G83" s="3247"/>
      <c r="H83" s="32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25" t="s">
        <v>2240</v>
      </c>
      <c r="B84" s="3226"/>
      <c r="C84" s="1806"/>
      <c r="D84" s="1806"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81373</v>
      </c>
      <c r="D85" s="201" t="s">
        <v>32</v>
      </c>
      <c r="E85" s="1805"/>
      <c r="F85" s="1799"/>
      <c r="G85" s="1799"/>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488</v>
      </c>
      <c r="D86" s="236"/>
      <c r="E86" s="1805"/>
      <c r="F86" s="1799"/>
      <c r="G86" s="1799"/>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801"/>
      <c r="F87" s="1802"/>
      <c r="G87" s="1802"/>
      <c r="H87" s="1804"/>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2"/>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1802"/>
      <c r="G89" s="1802"/>
      <c r="H89" s="1804"/>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2"/>
      <c r="G90" s="1802"/>
      <c r="H90" s="1804"/>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06" t="s">
        <v>2286</v>
      </c>
      <c r="F91" s="3207"/>
      <c r="G91" s="3207"/>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06" t="s">
        <v>2290</v>
      </c>
      <c r="F92" s="3207"/>
      <c r="G92" s="3207"/>
      <c r="H92" s="321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488</v>
      </c>
      <c r="D93" s="227">
        <f>'数据-取费表'!B43</f>
        <v>6.000000000000001E-3</v>
      </c>
      <c r="E93" s="3206" t="s">
        <v>2273</v>
      </c>
      <c r="F93" s="3207"/>
      <c r="G93" s="3207"/>
      <c r="H93" s="321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17" t="s">
        <v>2294</v>
      </c>
      <c r="F94" s="3218"/>
      <c r="G94" s="3218"/>
      <c r="H94" s="321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80885</v>
      </c>
      <c r="D95" s="201" t="s">
        <v>32</v>
      </c>
      <c r="E95" s="1805"/>
      <c r="F95" s="1799"/>
      <c r="G95" s="1799"/>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165.74795081967213</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48360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91" t="s">
        <v>2296</v>
      </c>
      <c r="B100" s="3192"/>
      <c r="C100" s="3192"/>
      <c r="D100" s="3208"/>
      <c r="E100" s="3192" t="s">
        <v>2297</v>
      </c>
      <c r="F100" s="3192"/>
      <c r="G100" s="3192"/>
      <c r="H100" s="3208"/>
      <c r="I100" s="138"/>
    </row>
    <row r="101" spans="1:35" ht="18.75" customHeight="1">
      <c r="A101" s="3270" t="s">
        <v>2298</v>
      </c>
      <c r="B101" s="3271"/>
      <c r="C101" s="737" t="str">
        <f>C4</f>
        <v>成本法</v>
      </c>
      <c r="D101" s="738" t="str">
        <f>D4</f>
        <v>假设开发法</v>
      </c>
      <c r="E101" s="3284" t="s">
        <v>2299</v>
      </c>
      <c r="F101" s="3238"/>
      <c r="G101" s="2521" t="s">
        <v>2300</v>
      </c>
      <c r="H101" s="1049">
        <f ca="1">H118</f>
        <v>85442</v>
      </c>
      <c r="I101" s="138"/>
    </row>
    <row r="102" spans="1:35" ht="18.75" customHeight="1">
      <c r="A102" s="3240" t="s">
        <v>2301</v>
      </c>
      <c r="B102" s="2521" t="s">
        <v>2300</v>
      </c>
      <c r="C102" s="737">
        <f ca="1">C19</f>
        <v>127600</v>
      </c>
      <c r="D102" s="738">
        <f ca="1">D19</f>
        <v>43284</v>
      </c>
      <c r="E102" s="3284"/>
      <c r="F102" s="3238"/>
      <c r="G102" s="2521" t="s">
        <v>2302</v>
      </c>
      <c r="H102" s="372">
        <f ca="1">I118</f>
        <v>12858</v>
      </c>
      <c r="I102" s="138"/>
    </row>
    <row r="103" spans="1:35" ht="42.75" customHeight="1">
      <c r="A103" s="3240"/>
      <c r="B103" s="2521" t="s">
        <v>2302</v>
      </c>
      <c r="C103" s="739">
        <f ca="1">C20</f>
        <v>19203</v>
      </c>
      <c r="D103" s="740">
        <f ca="1">D20</f>
        <v>6514</v>
      </c>
      <c r="E103" s="3279" t="s">
        <v>2303</v>
      </c>
      <c r="F103" s="3280"/>
      <c r="G103" s="2522" t="s">
        <v>2304</v>
      </c>
      <c r="H103" s="1049">
        <f>IF(D36="正常操作",H104+H105+H106,H105+H106)</f>
        <v>0</v>
      </c>
      <c r="I103" s="138"/>
    </row>
    <row r="104" spans="1:35" ht="18.75" customHeight="1">
      <c r="A104" s="3240" t="s">
        <v>2305</v>
      </c>
      <c r="B104" s="2523" t="s">
        <v>2300</v>
      </c>
      <c r="C104" s="741">
        <f ca="1">H118</f>
        <v>85442</v>
      </c>
      <c r="D104" s="742"/>
      <c r="E104" s="2267" t="s">
        <v>2306</v>
      </c>
      <c r="F104" s="2259"/>
      <c r="G104" s="2522" t="s">
        <v>2304</v>
      </c>
      <c r="H104" s="1050">
        <f>IF(D36="同一抵押权人同一抵押物续贷",C36&amp;"（未扣减，详见特别提示）",C36)</f>
        <v>0</v>
      </c>
      <c r="I104" s="138"/>
    </row>
    <row r="105" spans="1:35" ht="18.75" customHeight="1" thickBot="1">
      <c r="A105" s="3241"/>
      <c r="B105" s="2524" t="s">
        <v>2302</v>
      </c>
      <c r="C105" s="743">
        <f ca="1">I118</f>
        <v>12858</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7" t="str">
        <f>IF(项目基本情况!E8="已注销","——","3.房地产抵押价值")</f>
        <v>3.房地产抵押价值</v>
      </c>
      <c r="F107" s="3238"/>
      <c r="G107" s="2521" t="s">
        <v>2300</v>
      </c>
      <c r="H107" s="1049">
        <f ca="1">IF(E107="——","——",H101-H103)</f>
        <v>85442</v>
      </c>
      <c r="I107" s="138"/>
    </row>
    <row r="108" spans="1:35" ht="18.75" customHeight="1">
      <c r="A108" s="138"/>
      <c r="B108" s="138"/>
      <c r="C108" s="138"/>
      <c r="D108" s="138"/>
      <c r="E108" s="3237"/>
      <c r="F108" s="3238"/>
      <c r="G108" s="2521" t="s">
        <v>2302</v>
      </c>
      <c r="H108" s="372">
        <f ca="1">ROUND(H107*10000/'数据-汇总表'!E3,0)</f>
        <v>12858</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521" t="s">
        <v>2300</v>
      </c>
      <c r="H109" s="349" t="str">
        <f>IF(E109="——","——",H101-H105-H106)</f>
        <v>——</v>
      </c>
      <c r="I109" s="138"/>
    </row>
    <row r="110" spans="1:35" ht="18.75" customHeight="1">
      <c r="A110" s="138"/>
      <c r="B110" s="138"/>
      <c r="C110" s="138"/>
      <c r="D110" s="138"/>
      <c r="E110" s="3237"/>
      <c r="F110" s="3238"/>
      <c r="G110" s="2521" t="s">
        <v>2302</v>
      </c>
      <c r="H110" s="372"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v>
      </c>
      <c r="F111" s="3273"/>
      <c r="G111" s="2521" t="s">
        <v>2300</v>
      </c>
      <c r="H111" s="1049" t="str">
        <f>IF(E111="——","——",N59)</f>
        <v>——</v>
      </c>
      <c r="I111" s="138"/>
    </row>
    <row r="112" spans="1:35" ht="18.75" customHeight="1" thickBot="1">
      <c r="A112" s="138"/>
      <c r="B112" s="138"/>
      <c r="C112" s="138"/>
      <c r="D112" s="138"/>
      <c r="E112" s="3274"/>
      <c r="F112" s="3275"/>
      <c r="G112" s="2526" t="s">
        <v>2302</v>
      </c>
      <c r="H112" s="791" t="str">
        <f>IF(E111="——","——",N61)</f>
        <v>——</v>
      </c>
      <c r="I112" s="138"/>
    </row>
    <row r="113" spans="1:11" ht="18.75" customHeight="1">
      <c r="A113" s="138"/>
      <c r="B113" s="138"/>
      <c r="C113" s="138"/>
      <c r="D113" s="138"/>
      <c r="E113" s="3242" t="s">
        <v>2308</v>
      </c>
      <c r="F113" s="3242"/>
      <c r="G113" s="3242"/>
      <c r="H113" s="3242"/>
      <c r="I113" s="138"/>
    </row>
    <row r="114" spans="1:11" ht="3.75" customHeight="1">
      <c r="A114" s="2419"/>
      <c r="B114" s="2419"/>
      <c r="C114" s="2419"/>
      <c r="D114" s="2419"/>
      <c r="E114" s="2497"/>
      <c r="F114" s="2497"/>
      <c r="G114" s="2497"/>
      <c r="H114" s="2497"/>
      <c r="I114" s="2419"/>
    </row>
    <row r="115" spans="1:11" ht="18.75" customHeight="1">
      <c r="A115" s="3255" t="s">
        <v>2310</v>
      </c>
      <c r="B115" s="3256"/>
      <c r="C115" s="3256"/>
      <c r="D115" s="3256"/>
      <c r="E115" s="3256"/>
      <c r="F115" s="3256"/>
      <c r="G115" s="3256"/>
      <c r="H115" s="3256"/>
      <c r="I115" s="3257"/>
    </row>
    <row r="116" spans="1:11" ht="27" customHeight="1">
      <c r="A116" s="3148" t="s">
        <v>2311</v>
      </c>
      <c r="B116" s="3243" t="s">
        <v>2312</v>
      </c>
      <c r="C116" s="3243" t="s">
        <v>2313</v>
      </c>
      <c r="D116" s="3259" t="s">
        <v>2314</v>
      </c>
      <c r="E116" s="3260"/>
      <c r="F116" s="3251" t="s">
        <v>2315</v>
      </c>
      <c r="G116" s="3251"/>
      <c r="H116" s="3148" t="s">
        <v>2316</v>
      </c>
      <c r="I116" s="3148"/>
    </row>
    <row r="117" spans="1:11" ht="18.75" customHeight="1">
      <c r="A117" s="3148"/>
      <c r="B117" s="3244"/>
      <c r="C117" s="3244"/>
      <c r="D117" s="1800" t="s">
        <v>2317</v>
      </c>
      <c r="E117" s="1800" t="s">
        <v>2318</v>
      </c>
      <c r="F117" s="1800" t="s">
        <v>2317</v>
      </c>
      <c r="G117" s="1800" t="s">
        <v>2319</v>
      </c>
      <c r="H117" s="1800" t="s">
        <v>2317</v>
      </c>
      <c r="I117" s="1800" t="s">
        <v>2319</v>
      </c>
    </row>
    <row r="118" spans="1:11" ht="24.75" customHeight="1">
      <c r="A118" s="2527" t="str">
        <f>项目基本情况!S2</f>
        <v>北京市朝阳区东三环中路20、24号楼2幢商业用房房地产房地产</v>
      </c>
      <c r="B118" s="1800">
        <f>M18</f>
        <v>66448.330000000016</v>
      </c>
      <c r="C118" s="1800">
        <f>M19</f>
        <v>9773.2199999999993</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85442</v>
      </c>
      <c r="I118" s="1800">
        <f ca="1">ROUND(IF(D32="楼面单价",C32,H118*10000/B118),0)</f>
        <v>12858</v>
      </c>
    </row>
    <row r="119" spans="1:11" ht="18.75" customHeight="1">
      <c r="A119" s="3148" t="s">
        <v>2320</v>
      </c>
      <c r="B119" s="3148"/>
      <c r="C119" s="3148"/>
      <c r="D119" s="3248" t="e">
        <f ca="1">NUMBERSTRING(INT(D118*10000),2)&amp;"元整"</f>
        <v>#REF!</v>
      </c>
      <c r="E119" s="3250"/>
      <c r="F119" s="3248" t="e">
        <f ca="1">NUMBERSTRING(INT(F118*10000),2)&amp;"元整"</f>
        <v>#REF!</v>
      </c>
      <c r="G119" s="3250"/>
      <c r="H119" s="3248" t="str">
        <f ca="1">NUMBERSTRING(INT(H118*10000),2)&amp;"元整"</f>
        <v>捌亿伍仟肆佰肆拾贰万元整</v>
      </c>
      <c r="I119" s="3250"/>
    </row>
    <row r="120" spans="1:11" ht="18.75" customHeight="1">
      <c r="A120" s="3276" t="str">
        <f>IF(项目基本情况!B9="房地产市场价值","",MID(E103,3,LEN(E103)-2))</f>
        <v>估价师知悉的法定优先受偿款</v>
      </c>
      <c r="B120" s="3277"/>
      <c r="C120" s="3278"/>
      <c r="D120" s="3276">
        <f>H103</f>
        <v>0</v>
      </c>
      <c r="E120" s="3277"/>
      <c r="F120" s="3277"/>
      <c r="G120" s="3277"/>
      <c r="H120" s="3277"/>
      <c r="I120" s="3278"/>
      <c r="K120" s="2424" t="str">
        <f>IF(D120=0,"故，本次评估不存在"&amp;A120,"故，本次评估"&amp;A120&amp;"为人民币"&amp;D120&amp;"万元整。")</f>
        <v>故，本次评估不存在估价师知悉的法定优先受偿款</v>
      </c>
    </row>
    <row r="121" spans="1:11" ht="18.75" customHeight="1">
      <c r="A121" s="3252" t="s">
        <v>2320</v>
      </c>
      <c r="B121" s="3253"/>
      <c r="C121" s="3254"/>
      <c r="D121" s="3248" t="str">
        <f>IF(D120=0,"零元整",NUMBERSTRING(INT(D120*10000),2)&amp;"元整")</f>
        <v>零元整</v>
      </c>
      <c r="E121" s="3249"/>
      <c r="F121" s="3249"/>
      <c r="G121" s="3249"/>
      <c r="H121" s="3249"/>
      <c r="I121" s="3250"/>
    </row>
    <row r="122" spans="1:11" ht="18.75" customHeight="1">
      <c r="A122" s="3239" t="str">
        <f>IF(项目基本情况!B9="房地产市场价值","",MID(E107,3,LEN(E107)-2))</f>
        <v>房地产抵押价值</v>
      </c>
      <c r="B122" s="3239"/>
      <c r="C122" s="3239"/>
      <c r="D122" s="3276">
        <f ca="1">H107</f>
        <v>85442</v>
      </c>
      <c r="E122" s="3277"/>
      <c r="F122" s="3277"/>
      <c r="G122" s="3277"/>
      <c r="H122" s="3277"/>
      <c r="I122" s="3278"/>
    </row>
    <row r="123" spans="1:11" ht="18.75" customHeight="1">
      <c r="A123" s="3148" t="s">
        <v>2320</v>
      </c>
      <c r="B123" s="3148"/>
      <c r="C123" s="3148"/>
      <c r="D123" s="3248" t="str">
        <f ca="1">NUMBERSTRING(INT(D122*10000),2)&amp;"元整"</f>
        <v>捌亿伍仟肆佰肆拾贰万元整</v>
      </c>
      <c r="E123" s="3249"/>
      <c r="F123" s="3249"/>
      <c r="G123" s="3249"/>
      <c r="H123" s="3249"/>
      <c r="I123" s="3250"/>
    </row>
    <row r="124" spans="1:11" ht="18.75" customHeight="1">
      <c r="A124" s="3239" t="str">
        <f>IF(项目基本情况!B9="房地产市场价值","",MID(E109,3,LEN(E109)-2))</f>
        <v/>
      </c>
      <c r="B124" s="3239"/>
      <c r="C124" s="3239"/>
      <c r="D124" s="3276" t="str">
        <f>H109</f>
        <v>——</v>
      </c>
      <c r="E124" s="3277"/>
      <c r="F124" s="3277"/>
      <c r="G124" s="3277"/>
      <c r="H124" s="3277"/>
      <c r="I124" s="3278"/>
    </row>
    <row r="125" spans="1:11" ht="18.75" customHeight="1">
      <c r="A125" s="3148" t="s">
        <v>2320</v>
      </c>
      <c r="B125" s="3148"/>
      <c r="C125" s="3148"/>
      <c r="D125" s="3248" t="e">
        <f>NUMBERSTRING(INT(D124*10000),2)&amp;"元整"</f>
        <v>#VALUE!</v>
      </c>
      <c r="E125" s="3249"/>
      <c r="F125" s="3249"/>
      <c r="G125" s="3249"/>
      <c r="H125" s="3249"/>
      <c r="I125" s="3250"/>
    </row>
    <row r="126" spans="1:11" ht="18.75" customHeight="1">
      <c r="A126" s="3239" t="str">
        <f>IF(项目基本情况!B9="房地产市场价值","",MID(E111,3,LEN(E111)-2))</f>
        <v/>
      </c>
      <c r="B126" s="3239"/>
      <c r="C126" s="3239"/>
      <c r="D126" s="3276" t="str">
        <f>H111</f>
        <v>——</v>
      </c>
      <c r="E126" s="3277"/>
      <c r="F126" s="3277"/>
      <c r="G126" s="3277"/>
      <c r="H126" s="3277"/>
      <c r="I126" s="3278"/>
    </row>
    <row r="127" spans="1:11" ht="18.75" customHeight="1">
      <c r="A127" s="3148" t="s">
        <v>2320</v>
      </c>
      <c r="B127" s="3148"/>
      <c r="C127" s="3148"/>
      <c r="D127" s="3248" t="e">
        <f>NUMBERSTRING(INT(D126*10000),2)&amp;"元整"</f>
        <v>#VALUE!</v>
      </c>
      <c r="E127" s="3249"/>
      <c r="F127" s="3249"/>
      <c r="G127" s="3249"/>
      <c r="H127" s="3249"/>
      <c r="I127" s="3250"/>
    </row>
    <row r="128" spans="1:11" ht="21.75" customHeight="1">
      <c r="A128" s="3258" t="s">
        <v>2321</v>
      </c>
      <c r="B128" s="3258"/>
      <c r="C128" s="3258"/>
      <c r="D128" s="3258"/>
      <c r="E128" s="3258"/>
      <c r="F128" s="3258"/>
      <c r="G128" s="3258"/>
      <c r="H128" s="3258"/>
      <c r="I128" s="3258"/>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2"/>
      <c r="C1" s="2556" t="s">
        <v>2431</v>
      </c>
      <c r="D1" s="243"/>
      <c r="E1" s="243"/>
      <c r="F1" s="243"/>
      <c r="G1" s="1383">
        <f>MATCH(B1,'数据-取费表'!A6:A16,0)+5</f>
        <v>10</v>
      </c>
      <c r="H1" s="1286" t="str">
        <f>IF(ISERROR(FIND("住宅",B1)),"非住宅","住宅")</f>
        <v>非住宅</v>
      </c>
    </row>
    <row r="2" spans="1:8" s="245" customFormat="1" ht="18" customHeight="1">
      <c r="A2" s="246" t="s">
        <v>2330</v>
      </c>
      <c r="B2" s="247">
        <f ca="1">ROUND(IF(D2="——",C52/10000,C52/10000-E2),0)</f>
        <v>36336</v>
      </c>
      <c r="C2" s="244" t="s">
        <v>2331</v>
      </c>
      <c r="D2" s="2550" t="s">
        <v>70</v>
      </c>
      <c r="E2" s="1444"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5468</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13289666</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13289666</v>
      </c>
      <c r="D8" s="267"/>
      <c r="E8" s="265"/>
      <c r="F8" s="266"/>
      <c r="G8" s="2553"/>
    </row>
    <row r="9" spans="1:8" s="259" customFormat="1" ht="13.5" customHeight="1">
      <c r="A9" s="954" t="s">
        <v>800</v>
      </c>
      <c r="B9" s="269" t="s">
        <v>2346</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2348</v>
      </c>
      <c r="C10" s="270">
        <f ca="1">ROUND(D10*E10,0)</f>
        <v>13289666</v>
      </c>
      <c r="D10" s="1036">
        <f ca="1">IF(B1="",'数据-汇总表'!E6,IF(INDIRECT("'数据-取费表'!c"&amp;$G$1)="住宅",INDIRECT("'数据-取费表'!s"&amp;$G$1),INDIRECT("'数据-取费表'!k"&amp;$G$1)+INDIRECT("'数据-取费表'!s"&amp;$G$1)))</f>
        <v>66448.330000000016</v>
      </c>
      <c r="E10" s="270">
        <f>'数据-取费表'!B28</f>
        <v>200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13289666</v>
      </c>
      <c r="D19" s="1040">
        <f ca="1">D9+D10</f>
        <v>66448.330000000016</v>
      </c>
      <c r="E19" s="256">
        <f>'数据-取费表'!B31</f>
        <v>200</v>
      </c>
      <c r="F19" s="276"/>
      <c r="G19" s="2553"/>
    </row>
    <row r="20" spans="1:7" s="259" customFormat="1" ht="13.5" customHeight="1">
      <c r="A20" s="300" t="s">
        <v>2442</v>
      </c>
      <c r="B20" s="255" t="s">
        <v>2443</v>
      </c>
      <c r="C20" s="277">
        <f ca="1">ROUND((C5+C19)*F20,0)</f>
        <v>531587</v>
      </c>
      <c r="D20" s="277"/>
      <c r="E20" s="277"/>
      <c r="F20" s="278">
        <f>'数据-取费表'!B37</f>
        <v>0.02</v>
      </c>
      <c r="G20" s="279" t="s">
        <v>2444</v>
      </c>
    </row>
    <row r="21" spans="1:7" s="259" customFormat="1" ht="13.5" customHeight="1">
      <c r="A21" s="300" t="s">
        <v>2445</v>
      </c>
      <c r="B21" s="255" t="s">
        <v>2446</v>
      </c>
      <c r="C21" s="280">
        <f>F21</f>
        <v>0.02</v>
      </c>
      <c r="D21" s="281" t="s">
        <v>2447</v>
      </c>
      <c r="E21" s="277"/>
      <c r="F21" s="278">
        <f>'数据-取费表'!B38</f>
        <v>0.02</v>
      </c>
      <c r="G21" s="279" t="s">
        <v>2448</v>
      </c>
    </row>
    <row r="22" spans="1:7" s="259" customFormat="1" ht="13.5" customHeight="1">
      <c r="A22" s="300" t="s">
        <v>2449</v>
      </c>
      <c r="B22" s="255" t="s">
        <v>2450</v>
      </c>
      <c r="C22" s="1384">
        <f ca="1">ROUND(SUM(C23:C25),0)</f>
        <v>1934920</v>
      </c>
      <c r="D22" s="280">
        <f ca="1">C26</f>
        <v>6.9999999999999999E-4</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5">
        <f ca="1">ROUND(IF('数据-取费表'!B22&lt;=1,C5*F22*'数据-取费表'!B22,C5*(POWER((1+F22),'数据-取费表'!B22)-1)),0)</f>
        <v>958046</v>
      </c>
      <c r="D23" s="283"/>
      <c r="E23" s="283"/>
      <c r="F23" s="284"/>
      <c r="G23" s="285" t="s">
        <v>2452</v>
      </c>
    </row>
    <row r="24" spans="1:7" s="259" customFormat="1" ht="13.5" customHeight="1">
      <c r="A24" s="955" t="s">
        <v>2342</v>
      </c>
      <c r="B24" s="260" t="s">
        <v>2453</v>
      </c>
      <c r="C24" s="1385">
        <f ca="1">ROUND(IF('数据-取费表'!B22&lt;=1,C19*F22*('数据-取费表'!B19/2+'数据-取费表'!B20),C19*(POWER((1+F22),('数据-取费表'!B19/2+'数据-取费表'!B20))-1)),0)</f>
        <v>958046</v>
      </c>
      <c r="D24" s="283"/>
      <c r="E24" s="283"/>
      <c r="F24" s="284"/>
      <c r="G24" s="285" t="s">
        <v>2454</v>
      </c>
    </row>
    <row r="25" spans="1:7" s="259" customFormat="1" ht="24">
      <c r="A25" s="955" t="s">
        <v>2344</v>
      </c>
      <c r="B25" s="260" t="s">
        <v>2455</v>
      </c>
      <c r="C25" s="1385">
        <f ca="1">ROUND(IF('数据-取费表'!B22&lt;=1,C20*F22*'数据-取费表'!B22/2,C20*(POWER((1+F22),'数据-取费表'!B22/2)-1)),0)</f>
        <v>18828</v>
      </c>
      <c r="D25" s="283"/>
      <c r="E25" s="286"/>
      <c r="F25" s="284"/>
      <c r="G25" s="287" t="s">
        <v>2456</v>
      </c>
    </row>
    <row r="26" spans="1:7" s="259" customFormat="1">
      <c r="A26" s="955" t="s">
        <v>795</v>
      </c>
      <c r="B26" s="260" t="s">
        <v>2379</v>
      </c>
      <c r="C26" s="283">
        <f ca="1">ROUND(IF('数据-取费表'!B22&lt;=1,F21*F22*'数据-取费表'!B22/2,F21*(POWER((1+F22),'数据-取费表'!B22/2)-1)),4)</f>
        <v>6.9999999999999999E-4</v>
      </c>
      <c r="D26" s="283"/>
      <c r="E26" s="286"/>
      <c r="F26" s="284"/>
      <c r="G26" s="288"/>
    </row>
    <row r="27" spans="1:7" s="259" customFormat="1" ht="24.75">
      <c r="A27" s="300" t="s">
        <v>2380</v>
      </c>
      <c r="B27" s="289" t="s">
        <v>2381</v>
      </c>
      <c r="C27" s="290">
        <f ca="1">C28</f>
        <v>6777730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ROUND((C5+C19+C20)*F27,0)</f>
        <v>6777730</v>
      </c>
      <c r="D28" s="280"/>
      <c r="E28" s="281"/>
      <c r="F28" s="291"/>
      <c r="G28" s="292"/>
    </row>
    <row r="29" spans="1:7" s="259" customFormat="1" ht="13.5" customHeight="1">
      <c r="A29" s="955" t="s">
        <v>792</v>
      </c>
      <c r="B29" s="293" t="s">
        <v>2385</v>
      </c>
      <c r="C29" s="283">
        <f ca="1">ROUND(C21*F27,4)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38896383</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261979554</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233511632</v>
      </c>
      <c r="D34" s="262"/>
      <c r="E34" s="265"/>
      <c r="F34" s="302"/>
      <c r="G34" s="264"/>
    </row>
    <row r="35" spans="1:7" ht="13.5" customHeight="1">
      <c r="A35" s="955" t="s">
        <v>796</v>
      </c>
      <c r="B35" s="260" t="s">
        <v>2395</v>
      </c>
      <c r="C35" s="265">
        <f ca="1">ROUND(C34*F35,0)</f>
        <v>11675582</v>
      </c>
      <c r="D35" s="265"/>
      <c r="E35" s="265"/>
      <c r="F35" s="304">
        <f>'数据-取费表'!B33</f>
        <v>0.05</v>
      </c>
      <c r="G35" s="264" t="s">
        <v>2396</v>
      </c>
    </row>
    <row r="36" spans="1:7" ht="24">
      <c r="A36" s="955"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5" t="s">
        <v>798</v>
      </c>
      <c r="B37" s="260" t="s">
        <v>2399</v>
      </c>
      <c r="C37" s="294">
        <f ca="1">ROUND(E37*D37,0)</f>
        <v>13289666</v>
      </c>
      <c r="D37" s="262">
        <f ca="1">D19</f>
        <v>66448.330000000016</v>
      </c>
      <c r="E37" s="294">
        <f>'数据-取费表'!B35</f>
        <v>200</v>
      </c>
      <c r="F37" s="304"/>
      <c r="G37" s="306"/>
    </row>
    <row r="38" spans="1:7" ht="13.5" customHeight="1">
      <c r="A38" s="955" t="s">
        <v>799</v>
      </c>
      <c r="B38" s="260" t="s">
        <v>2401</v>
      </c>
      <c r="C38" s="265">
        <f ca="1">ROUND(C34*F38,0)</f>
        <v>3502674</v>
      </c>
      <c r="D38" s="265"/>
      <c r="E38" s="265"/>
      <c r="F38" s="304">
        <f>'数据-取费表'!B36</f>
        <v>1.4999999999999999E-2</v>
      </c>
      <c r="G38" s="264" t="s">
        <v>2396</v>
      </c>
    </row>
    <row r="39" spans="1:7" s="259" customFormat="1" ht="13.5" customHeight="1">
      <c r="A39" s="300" t="s">
        <v>2402</v>
      </c>
      <c r="B39" s="255" t="s">
        <v>2403</v>
      </c>
      <c r="C39" s="277">
        <f ca="1">ROUND(C33*F20,0)</f>
        <v>5239591</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9464248</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9278675</v>
      </c>
      <c r="D42" s="283"/>
      <c r="E42" s="283"/>
      <c r="F42" s="284"/>
      <c r="G42" s="3290" t="s">
        <v>2459</v>
      </c>
    </row>
    <row r="43" spans="1:7" ht="13.5" customHeight="1">
      <c r="A43" s="955" t="s">
        <v>792</v>
      </c>
      <c r="B43" s="260" t="s">
        <v>2413</v>
      </c>
      <c r="C43" s="283">
        <f ca="1">ROUND(IF('数据-取费表'!B22&lt;=1,C39*F22*'数据-取费表'!B20/2,C39*(POWER((1+F22),'数据-取费表'!B20/2)-1)),0)</f>
        <v>185573</v>
      </c>
      <c r="D43" s="283"/>
      <c r="E43" s="283"/>
      <c r="F43" s="284"/>
      <c r="G43" s="3291"/>
    </row>
    <row r="44" spans="1:7" ht="13.5" customHeight="1">
      <c r="A44" s="955" t="s">
        <v>793</v>
      </c>
      <c r="B44" s="260" t="s">
        <v>2414</v>
      </c>
      <c r="C44" s="283">
        <f ca="1">ROUND(IF('数据-取费表'!B22&lt;=1,C40*F22*'数据-取费表'!B20/2,C40*(POWER((1+F22),'数据-取费表'!B20/2)-1)),4)</f>
        <v>6.9999999999999999E-4</v>
      </c>
      <c r="D44" s="283"/>
      <c r="E44" s="283"/>
      <c r="F44" s="284"/>
      <c r="G44" s="3292"/>
    </row>
    <row r="45" spans="1:7" s="259" customFormat="1" ht="13.5" customHeight="1">
      <c r="A45" s="300" t="s">
        <v>2415</v>
      </c>
      <c r="B45" s="289" t="s">
        <v>2381</v>
      </c>
      <c r="C45" s="290">
        <f ca="1">C46</f>
        <v>66804786</v>
      </c>
      <c r="D45" s="280">
        <f ca="1">C47</f>
        <v>5.0000000000000001E-3</v>
      </c>
      <c r="E45" s="281" t="s">
        <v>2407</v>
      </c>
      <c r="F45" s="291"/>
      <c r="G45" s="292" t="s">
        <v>2416</v>
      </c>
    </row>
    <row r="46" spans="1:7" s="259" customFormat="1" ht="13.5" customHeight="1">
      <c r="A46" s="955" t="s">
        <v>791</v>
      </c>
      <c r="B46" s="293" t="s">
        <v>2417</v>
      </c>
      <c r="C46" s="294">
        <f ca="1">ROUND((C33+C39)*F27,0)</f>
        <v>66804786</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372951334</v>
      </c>
      <c r="D49" s="277"/>
      <c r="E49" s="277"/>
      <c r="F49" s="309"/>
      <c r="G49" s="279" t="s">
        <v>2422</v>
      </c>
    </row>
    <row r="50" spans="1:7" s="303" customFormat="1">
      <c r="A50" s="300" t="s">
        <v>2423</v>
      </c>
      <c r="B50" s="255" t="s">
        <v>2424</v>
      </c>
      <c r="C50" s="277"/>
      <c r="D50" s="277"/>
      <c r="E50" s="277"/>
      <c r="F50" s="309">
        <f>IF('数据-取费表'!B24=0,'数据-取费表'!N16,1)</f>
        <v>0.87</v>
      </c>
      <c r="G50" s="292"/>
    </row>
    <row r="51" spans="1:7" ht="16.5" customHeight="1">
      <c r="A51" s="300" t="s">
        <v>2426</v>
      </c>
      <c r="B51" s="255" t="s">
        <v>2461</v>
      </c>
      <c r="C51" s="277">
        <f ca="1">ROUND(C49*F50,0)</f>
        <v>324467661</v>
      </c>
      <c r="D51" s="277"/>
      <c r="E51" s="277"/>
      <c r="F51" s="309"/>
      <c r="G51" s="279" t="s">
        <v>2428</v>
      </c>
    </row>
    <row r="52" spans="1:7" s="253" customFormat="1" ht="16.5" thickBot="1">
      <c r="A52" s="310" t="s">
        <v>2429</v>
      </c>
      <c r="B52" s="311"/>
      <c r="C52" s="312">
        <f ca="1">C31+C51</f>
        <v>363364044</v>
      </c>
      <c r="D52" s="311"/>
      <c r="E52" s="311"/>
      <c r="F52" s="311"/>
      <c r="G52" s="313"/>
    </row>
    <row r="55" spans="1:7" ht="15">
      <c r="B55" s="315" t="s">
        <v>2430</v>
      </c>
      <c r="C55" s="316"/>
    </row>
    <row r="56" spans="1:7">
      <c r="B56" s="318" t="s">
        <v>1515</v>
      </c>
      <c r="C56" s="320">
        <f ca="1">1-C57</f>
        <v>0.10699999999999998</v>
      </c>
    </row>
    <row r="57" spans="1:7">
      <c r="B57" s="318" t="s">
        <v>1516</v>
      </c>
      <c r="C57" s="319">
        <f ca="1">ROUND(C51/C52,3)</f>
        <v>0.89300000000000002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104" t="str">
        <f>项目基本情况!B1</f>
        <v>北京市朝阳区东三环中路20、24号楼2幢商业用房房地产房地产抵押价值预评估</v>
      </c>
      <c r="C37" s="3104"/>
      <c r="D37" s="3104"/>
      <c r="E37" s="3104"/>
      <c r="F37" s="3104"/>
      <c r="G37" s="3104"/>
      <c r="H37" s="3104"/>
      <c r="I37" s="3104"/>
    </row>
    <row r="38" spans="1:9">
      <c r="A38" s="1020"/>
      <c r="B38" s="1020"/>
    </row>
    <row r="39" spans="1:9">
      <c r="A39" s="1018" t="s">
        <v>818</v>
      </c>
      <c r="B39" s="1018" t="s">
        <v>820</v>
      </c>
    </row>
    <row r="40" spans="1:9">
      <c r="A40" s="1018"/>
      <c r="B40" s="1947" t="str">
        <f>项目基本情况!B5</f>
        <v>北京达义北方置业有限公司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4" sqref="E34"/>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2"/>
      <c r="C1" s="243"/>
      <c r="D1" s="243"/>
      <c r="E1" s="243"/>
      <c r="F1" s="243"/>
      <c r="G1" s="1383">
        <f>MATCH(B1,'数据-取费表'!A6:A16,0)+5</f>
        <v>10</v>
      </c>
    </row>
    <row r="2" spans="1:9" s="245" customFormat="1" ht="18" customHeight="1">
      <c r="A2" s="246" t="s">
        <v>2330</v>
      </c>
      <c r="B2" s="247">
        <f ca="1">IF(D2="——",C52,C52-E2)</f>
        <v>127600</v>
      </c>
      <c r="C2" s="244" t="s">
        <v>2331</v>
      </c>
      <c r="D2" s="2550" t="s">
        <v>70</v>
      </c>
      <c r="E2" s="1444"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19203</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65021</v>
      </c>
      <c r="D5" s="256" t="s">
        <v>2337</v>
      </c>
      <c r="E5" s="257" t="s">
        <v>2338</v>
      </c>
      <c r="F5" s="257" t="s">
        <v>2339</v>
      </c>
      <c r="G5" s="258"/>
    </row>
    <row r="6" spans="1:9" s="259" customFormat="1" ht="13.5" customHeight="1">
      <c r="A6" s="953" t="s">
        <v>2340</v>
      </c>
      <c r="B6" s="260" t="s">
        <v>2341</v>
      </c>
      <c r="C6" s="261">
        <f ca="1">'基准地价修正（地上2层）'!E29+'基准地价修正（地上2层）'!E33+'基准地价修正（地上2层）'!E34+'基准地价修正（地上2层）'!E39+'基准地价修正（地上1层）'!E29</f>
        <v>63097</v>
      </c>
      <c r="D6" s="262"/>
      <c r="E6" s="263"/>
      <c r="F6" s="263"/>
      <c r="G6" s="264"/>
    </row>
    <row r="7" spans="1:9" s="259" customFormat="1" ht="13.5" customHeight="1">
      <c r="A7" s="953" t="s">
        <v>2342</v>
      </c>
      <c r="B7" s="260" t="s">
        <v>2343</v>
      </c>
      <c r="C7" s="265">
        <f ca="1">ROUND(C6*F7,0)</f>
        <v>1924</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t="s">
        <v>3450</v>
      </c>
    </row>
    <row r="9" spans="1:9" s="259" customFormat="1" ht="13.5" customHeight="1">
      <c r="A9" s="954" t="s">
        <v>800</v>
      </c>
      <c r="B9" s="269" t="s">
        <v>2346</v>
      </c>
      <c r="C9" s="270">
        <f ca="1">ROUND(D9*E9/10000,0)</f>
        <v>0</v>
      </c>
      <c r="D9" s="1036">
        <f ca="1">IF(B1="",'数据-汇总表'!E5,IF(INDIRECT("'数据-取费表'!c"&amp;$G$1)="住宅",INDIRECT("'数据-取费表'!k"&amp;$G$1),0))</f>
        <v>0</v>
      </c>
      <c r="E9" s="270">
        <f>'数据-取费表'!B27</f>
        <v>0</v>
      </c>
      <c r="F9" s="266"/>
      <c r="G9" s="2554" t="s">
        <v>3451</v>
      </c>
      <c r="H9" s="1394"/>
      <c r="I9" s="2555" t="s">
        <v>2347</v>
      </c>
    </row>
    <row r="10" spans="1:9" s="259" customFormat="1" ht="13.5" customHeight="1">
      <c r="A10" s="954" t="s">
        <v>801</v>
      </c>
      <c r="B10" s="269" t="s">
        <v>2348</v>
      </c>
      <c r="C10" s="270">
        <f ca="1">ROUND(D10*E10/10000,0)</f>
        <v>1329</v>
      </c>
      <c r="D10" s="1036">
        <f ca="1">IF(B1="",'数据-汇总表'!E6,IF(INDIRECT("'数据-取费表'!c"&amp;$G$1)="住宅",INDIRECT("'数据-取费表'!s"&amp;$G$1),INDIRECT("'数据-取费表'!k"&amp;$G$1)+INDIRECT("'数据-取费表'!s"&amp;$G$1)))</f>
        <v>66448.330000000016</v>
      </c>
      <c r="E10" s="270">
        <f>'数据-取费表'!B28</f>
        <v>200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t="str">
        <f>IF(G19="已包含在土地取得成本中","0",ROUND(D19*E19/10000,0))</f>
        <v>0</v>
      </c>
      <c r="D19" s="1040">
        <f ca="1">D9+D10</f>
        <v>66448.330000000016</v>
      </c>
      <c r="E19" s="256">
        <f>'数据-取费表'!B31</f>
        <v>200</v>
      </c>
      <c r="F19" s="276"/>
      <c r="G19" s="2553" t="s">
        <v>3452</v>
      </c>
    </row>
    <row r="20" spans="1:7" s="259" customFormat="1" ht="13.5" customHeight="1">
      <c r="A20" s="300" t="s">
        <v>2361</v>
      </c>
      <c r="B20" s="255" t="s">
        <v>2362</v>
      </c>
      <c r="C20" s="277">
        <f ca="1">ROUND((C5+C19)*F20,0)</f>
        <v>1300</v>
      </c>
      <c r="D20" s="277"/>
      <c r="E20" s="277"/>
      <c r="F20" s="278">
        <f>'数据-取费表'!B37</f>
        <v>0.02</v>
      </c>
      <c r="G20" s="279" t="s">
        <v>2363</v>
      </c>
    </row>
    <row r="21" spans="1:7" s="259" customFormat="1" ht="13.5" customHeight="1">
      <c r="A21" s="300" t="s">
        <v>2364</v>
      </c>
      <c r="B21" s="255" t="s">
        <v>2365</v>
      </c>
      <c r="C21" s="280">
        <f>F21</f>
        <v>0.02</v>
      </c>
      <c r="D21" s="281" t="s">
        <v>2366</v>
      </c>
      <c r="E21" s="277"/>
      <c r="F21" s="278">
        <f>'数据-取费表'!B38</f>
        <v>0.02</v>
      </c>
      <c r="G21" s="279" t="s">
        <v>2367</v>
      </c>
    </row>
    <row r="22" spans="1:7" s="259" customFormat="1" ht="13.5" customHeight="1">
      <c r="A22" s="300" t="s">
        <v>2368</v>
      </c>
      <c r="B22" s="255" t="s">
        <v>2369</v>
      </c>
      <c r="C22" s="1358">
        <f ca="1">ROUND(SUM(C23:C25),0)</f>
        <v>4733</v>
      </c>
      <c r="D22" s="280">
        <f ca="1">C26</f>
        <v>6.9999999999999999E-4</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9">
        <f ca="1">ROUND(IF('数据-取费表'!B22&lt;=1,C5*F22*'数据-取费表'!B23,C5*(POWER((1+F22),'数据-取费表'!B23)-1)),0)</f>
        <v>4687</v>
      </c>
      <c r="D23" s="283"/>
      <c r="E23" s="283"/>
      <c r="F23" s="284"/>
      <c r="G23" s="285" t="s">
        <v>2372</v>
      </c>
    </row>
    <row r="24" spans="1:7" s="259" customFormat="1" ht="13.5" customHeight="1">
      <c r="A24" s="955" t="s">
        <v>2373</v>
      </c>
      <c r="B24" s="260" t="s">
        <v>2374</v>
      </c>
      <c r="C24" s="1359">
        <f ca="1">ROUND(IF('数据-取费表'!B22&lt;=1,C19*F22*('数据-取费表'!B19/2+'数据-取费表'!B21),C19*(POWER((1+F22),('数据-取费表'!B19/2+'数据-取费表'!B21))-1)),0)</f>
        <v>0</v>
      </c>
      <c r="D24" s="283"/>
      <c r="E24" s="283"/>
      <c r="F24" s="284"/>
      <c r="G24" s="285" t="s">
        <v>2375</v>
      </c>
    </row>
    <row r="25" spans="1:7" s="259" customFormat="1" ht="24">
      <c r="A25" s="955" t="s">
        <v>2376</v>
      </c>
      <c r="B25" s="260" t="s">
        <v>2377</v>
      </c>
      <c r="C25" s="1359">
        <f ca="1">ROUND(IF('数据-取费表'!B22&lt;=1,C20*F22*'数据-取费表'!B23/2,C20*(POWER((1+F22),'数据-取费表'!B23/2)-1)),0)</f>
        <v>46</v>
      </c>
      <c r="D25" s="283"/>
      <c r="E25" s="286"/>
      <c r="F25" s="284"/>
      <c r="G25" s="287" t="s">
        <v>2378</v>
      </c>
    </row>
    <row r="26" spans="1:7" s="259" customFormat="1">
      <c r="A26" s="955" t="s">
        <v>795</v>
      </c>
      <c r="B26" s="260" t="s">
        <v>2379</v>
      </c>
      <c r="C26" s="283">
        <f ca="1">ROUND(IF('数据-取费表'!B22&lt;=1,F21*F22*'数据-取费表'!B23/2,F21*(POWER((1+F22),'数据-取费表'!B23/2)-1)),4)</f>
        <v>6.9999999999999999E-4</v>
      </c>
      <c r="D26" s="283"/>
      <c r="E26" s="286"/>
      <c r="F26" s="284"/>
      <c r="G26" s="288"/>
    </row>
    <row r="27" spans="1:7" s="259" customFormat="1" ht="24.75">
      <c r="A27" s="300" t="s">
        <v>2380</v>
      </c>
      <c r="B27" s="289" t="s">
        <v>2381</v>
      </c>
      <c r="C27" s="290">
        <f ca="1">C28</f>
        <v>16580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ROUND((C5+C19+C20)*F27*'数据-取费表'!B21/'数据-取费表'!B20,0)</f>
        <v>16580</v>
      </c>
      <c r="D28" s="280"/>
      <c r="E28" s="281"/>
      <c r="F28" s="291"/>
      <c r="G28" s="292"/>
    </row>
    <row r="29" spans="1:7" s="259" customFormat="1" ht="13.5" customHeight="1">
      <c r="A29" s="955" t="s">
        <v>792</v>
      </c>
      <c r="B29" s="293" t="s">
        <v>2385</v>
      </c>
      <c r="C29" s="283">
        <f ca="1">ROUND(C21*F27*'数据-取费表'!B21/'数据-取费表'!B20,4)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95151</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26199</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23352</v>
      </c>
      <c r="D34" s="262"/>
      <c r="E34" s="265"/>
      <c r="F34" s="302">
        <f ca="1">IF('数据-取费表'!B24=0,1,IF(B1="",'数据-取费表'!N16,INDIRECT("'数据-取费表'!n"&amp;$G$1)))</f>
        <v>1</v>
      </c>
      <c r="G34" s="264" t="s">
        <v>2394</v>
      </c>
    </row>
    <row r="35" spans="1:7" ht="13.5" customHeight="1">
      <c r="A35" s="955" t="s">
        <v>796</v>
      </c>
      <c r="B35" s="260" t="s">
        <v>2395</v>
      </c>
      <c r="C35" s="265">
        <f ca="1">ROUND(C34*F35,0)</f>
        <v>1168</v>
      </c>
      <c r="D35" s="265"/>
      <c r="E35" s="265"/>
      <c r="F35" s="304">
        <f>'数据-取费表'!B33</f>
        <v>0.05</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5" t="s">
        <v>798</v>
      </c>
      <c r="B37" s="260" t="s">
        <v>2399</v>
      </c>
      <c r="C37" s="294">
        <f ca="1">ROUND(E37*D37*F34/10000,0)</f>
        <v>1329</v>
      </c>
      <c r="D37" s="262">
        <f ca="1">D19</f>
        <v>66448.330000000016</v>
      </c>
      <c r="E37" s="294">
        <f>'数据-取费表'!B35</f>
        <v>200</v>
      </c>
      <c r="F37" s="304"/>
      <c r="G37" s="306" t="s">
        <v>2400</v>
      </c>
    </row>
    <row r="38" spans="1:7" ht="13.5" customHeight="1">
      <c r="A38" s="955" t="s">
        <v>799</v>
      </c>
      <c r="B38" s="260" t="s">
        <v>2401</v>
      </c>
      <c r="C38" s="265">
        <f ca="1">ROUND(C34*F38,0)</f>
        <v>350</v>
      </c>
      <c r="D38" s="265"/>
      <c r="E38" s="265"/>
      <c r="F38" s="304">
        <f>'数据-取费表'!B36</f>
        <v>1.4999999999999999E-2</v>
      </c>
      <c r="G38" s="264" t="s">
        <v>2396</v>
      </c>
    </row>
    <row r="39" spans="1:7" s="259" customFormat="1" ht="13.5" customHeight="1">
      <c r="A39" s="300" t="s">
        <v>2402</v>
      </c>
      <c r="B39" s="255" t="s">
        <v>2403</v>
      </c>
      <c r="C39" s="277">
        <f ca="1">ROUND(C33*F20,0)</f>
        <v>524</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947</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928</v>
      </c>
      <c r="D42" s="283"/>
      <c r="E42" s="283"/>
      <c r="F42" s="284"/>
      <c r="G42" s="3290" t="s">
        <v>2412</v>
      </c>
    </row>
    <row r="43" spans="1:7" ht="13.5" customHeight="1">
      <c r="A43" s="955" t="s">
        <v>792</v>
      </c>
      <c r="B43" s="260" t="s">
        <v>2413</v>
      </c>
      <c r="C43" s="283">
        <f ca="1">ROUND(IF('数据-取费表'!B22&lt;=1,C39*F22*'数据-取费表'!B21/2,C39*(POWER((1+F22),'数据-取费表'!B21/2)-1)),0)</f>
        <v>19</v>
      </c>
      <c r="D43" s="283"/>
      <c r="E43" s="283"/>
      <c r="F43" s="284"/>
      <c r="G43" s="3291"/>
    </row>
    <row r="44" spans="1:7" ht="13.5" customHeight="1">
      <c r="A44" s="955" t="s">
        <v>793</v>
      </c>
      <c r="B44" s="260" t="s">
        <v>2414</v>
      </c>
      <c r="C44" s="283">
        <f ca="1">ROUND(IF('数据-取费表'!B22&lt;=1,C40*F22*'数据-取费表'!B21/2,C40*(POWER((1+F22),'数据-取费表'!B21/2)-1)),4)</f>
        <v>6.9999999999999999E-4</v>
      </c>
      <c r="D44" s="283"/>
      <c r="E44" s="283"/>
      <c r="F44" s="284"/>
      <c r="G44" s="3292"/>
    </row>
    <row r="45" spans="1:7" s="259" customFormat="1" ht="13.5" customHeight="1">
      <c r="A45" s="300" t="s">
        <v>2415</v>
      </c>
      <c r="B45" s="289" t="s">
        <v>2381</v>
      </c>
      <c r="C45" s="290">
        <f ca="1">C46</f>
        <v>6681</v>
      </c>
      <c r="D45" s="280">
        <f ca="1">C47</f>
        <v>5.0000000000000001E-3</v>
      </c>
      <c r="E45" s="281" t="s">
        <v>2407</v>
      </c>
      <c r="F45" s="291"/>
      <c r="G45" s="292" t="s">
        <v>2416</v>
      </c>
    </row>
    <row r="46" spans="1:7" s="259" customFormat="1" ht="13.5" customHeight="1">
      <c r="A46" s="955" t="s">
        <v>791</v>
      </c>
      <c r="B46" s="293" t="s">
        <v>2417</v>
      </c>
      <c r="C46" s="294">
        <f ca="1">ROUND((C33+C39)*F27,0)</f>
        <v>6681</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1733">
        <f>ROUND(F30/(1+'数据-取费表'!C42),4)</f>
        <v>5.33E-2</v>
      </c>
      <c r="D48" s="281" t="s">
        <v>2407</v>
      </c>
      <c r="E48" s="277"/>
      <c r="F48" s="282"/>
      <c r="G48" s="279" t="s">
        <v>2420</v>
      </c>
    </row>
    <row r="49" spans="1:7" ht="16.5" customHeight="1">
      <c r="A49" s="300" t="s">
        <v>2386</v>
      </c>
      <c r="B49" s="255" t="s">
        <v>2421</v>
      </c>
      <c r="C49" s="277">
        <f ca="1">ROUND((C33+C39+C41+C45)/(1-C40-D41-D45-C48),0)</f>
        <v>37298</v>
      </c>
      <c r="D49" s="277"/>
      <c r="E49" s="277"/>
      <c r="F49" s="309"/>
      <c r="G49" s="279" t="s">
        <v>2422</v>
      </c>
    </row>
    <row r="50" spans="1:7" s="303" customFormat="1" ht="24">
      <c r="A50" s="300" t="s">
        <v>2423</v>
      </c>
      <c r="B50" s="255" t="s">
        <v>2424</v>
      </c>
      <c r="C50" s="277"/>
      <c r="D50" s="277"/>
      <c r="E50" s="277"/>
      <c r="F50" s="309">
        <f>IF('数据-取费表'!B24=0,'数据-取费表'!N16,1)</f>
        <v>0.87</v>
      </c>
      <c r="G50" s="292" t="s">
        <v>2425</v>
      </c>
    </row>
    <row r="51" spans="1:7" ht="16.5" customHeight="1">
      <c r="A51" s="300" t="s">
        <v>2426</v>
      </c>
      <c r="B51" s="255" t="s">
        <v>2427</v>
      </c>
      <c r="C51" s="277">
        <f ca="1">ROUND(C49*F50,0)</f>
        <v>32449</v>
      </c>
      <c r="D51" s="277"/>
      <c r="E51" s="277"/>
      <c r="F51" s="309"/>
      <c r="G51" s="279" t="s">
        <v>2428</v>
      </c>
    </row>
    <row r="52" spans="1:7" s="253" customFormat="1" ht="16.5" thickBot="1">
      <c r="A52" s="310" t="s">
        <v>2429</v>
      </c>
      <c r="B52" s="311"/>
      <c r="C52" s="312">
        <f ca="1">C31+C51</f>
        <v>127600</v>
      </c>
      <c r="D52" s="311"/>
      <c r="E52" s="311"/>
      <c r="F52" s="311"/>
      <c r="G52" s="313"/>
    </row>
    <row r="55" spans="1:7" ht="15">
      <c r="B55" s="315" t="s">
        <v>2430</v>
      </c>
      <c r="C55" s="316"/>
    </row>
    <row r="56" spans="1:7">
      <c r="B56" s="318" t="s">
        <v>1515</v>
      </c>
      <c r="C56" s="320">
        <f ca="1">1-C57</f>
        <v>0.746</v>
      </c>
    </row>
    <row r="57" spans="1:7">
      <c r="B57" s="318" t="s">
        <v>1516</v>
      </c>
      <c r="C57" s="319">
        <f ca="1">ROUND(C51/C52,3)</f>
        <v>0.254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8764.36</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27246</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31087</v>
      </c>
      <c r="C3" s="2724" t="s">
        <v>2819</v>
      </c>
      <c r="D3" s="2725" t="s">
        <v>2820</v>
      </c>
      <c r="E3" s="2730" t="s">
        <v>3433</v>
      </c>
      <c r="F3" s="2731" t="s">
        <v>3434</v>
      </c>
      <c r="G3" s="917">
        <f>IF(F3="宗地容积率",'数据-汇总表'!I4,IF(F3="估价对象容积率",'数据-汇总表'!I6,'数据-汇总表'!I7))</f>
        <v>6.8</v>
      </c>
      <c r="H3" s="199" t="s">
        <v>2821</v>
      </c>
      <c r="I3" s="948">
        <v>2</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96"/>
      <c r="B4" s="3297"/>
      <c r="C4" s="3297"/>
      <c r="D4" s="3298"/>
      <c r="E4" s="3298"/>
      <c r="F4" s="3298"/>
      <c r="G4" s="3298"/>
      <c r="H4" s="3298"/>
      <c r="I4" s="3298"/>
      <c r="J4" s="3299"/>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300"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1821" t="s">
        <v>2834</v>
      </c>
      <c r="X7" s="1609" t="str">
        <f>G2</f>
        <v>三级</v>
      </c>
      <c r="Y7" s="1609" t="s">
        <v>2835</v>
      </c>
      <c r="Z7" s="1610">
        <f>G3</f>
        <v>6.8</v>
      </c>
      <c r="AA7" s="1611"/>
      <c r="AB7" s="1611"/>
      <c r="AC7" s="1612"/>
      <c r="AD7" s="1613"/>
      <c r="AE7" s="1613"/>
      <c r="AF7" s="1613"/>
      <c r="AG7" s="1613"/>
      <c r="AH7" s="1613"/>
      <c r="AI7" s="1613"/>
      <c r="AJ7" s="1614"/>
    </row>
    <row r="8" spans="1:36" ht="25.5">
      <c r="A8" s="3301"/>
      <c r="B8" s="199" t="s">
        <v>2836</v>
      </c>
      <c r="C8" s="2753" t="s">
        <v>3436</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3" t="s">
        <v>2839</v>
      </c>
      <c r="X8" s="3294"/>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301"/>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95"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01"/>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95"/>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01"/>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95" t="s">
        <v>2863</v>
      </c>
      <c r="X11" s="1619" t="s">
        <v>2864</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300"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95"/>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2"/>
      <c r="B13" s="2767" t="s">
        <v>2870</v>
      </c>
      <c r="C13" s="2768" t="s">
        <v>2871</v>
      </c>
      <c r="D13" s="1813" t="s">
        <v>2872</v>
      </c>
      <c r="E13" s="1813"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295"/>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02"/>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3"/>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300" t="s">
        <v>2882</v>
      </c>
      <c r="B16" s="2748" t="s">
        <v>2883</v>
      </c>
      <c r="C16" s="1806">
        <f>ROUND(SUM(G17:J17)/C17,0)</f>
        <v>0</v>
      </c>
      <c r="D16" s="2782" t="s">
        <v>2884</v>
      </c>
      <c r="E16" s="2783" t="s">
        <v>3435</v>
      </c>
      <c r="F16" s="2784" t="s">
        <v>3437</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301"/>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3449</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941">
        <f>IF(B21="容积率修正",IF(G3&lt;=10,D22,J22),C23)</f>
        <v>1.3371999999999999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1815" t="s">
        <v>2907</v>
      </c>
      <c r="D22" s="1815">
        <f>IF(E22=G22,F22,IF(G3&lt;=10,ROUND(F22+(H22-F22)*(G3-E22)/(G22-E22),4),"——"))</f>
        <v>0.77159999999999995</v>
      </c>
      <c r="E22" s="917">
        <f>ROUNDDOWN(G3,1)</f>
        <v>6.8</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1815"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1.3371999999999999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27246</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32525</v>
      </c>
      <c r="D29" s="2848">
        <f>面积!C40+面积!M28</f>
        <v>8145.36</v>
      </c>
      <c r="E29" s="946">
        <f ca="1">ROUND(C29*D29/10000,0)</f>
        <v>26493</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8131</v>
      </c>
      <c r="D30" s="2854"/>
      <c r="E30" s="946">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10"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11"/>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11"/>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12"/>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1814" t="s">
        <v>2943</v>
      </c>
      <c r="C47" s="1814" t="s">
        <v>2944</v>
      </c>
      <c r="D47" s="1814" t="s">
        <v>2945</v>
      </c>
      <c r="E47" s="820" t="s">
        <v>2946</v>
      </c>
      <c r="F47" s="2882" t="s">
        <v>2947</v>
      </c>
      <c r="G47" s="1814" t="s">
        <v>754</v>
      </c>
      <c r="H47" s="2883" t="s">
        <v>2948</v>
      </c>
      <c r="I47" s="181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3281</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3282</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3281</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3281</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3282</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3281</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3282</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3282</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3283</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1814"/>
      <c r="C58" s="1814" t="s">
        <v>2944</v>
      </c>
      <c r="D58" s="1814" t="s">
        <v>2945</v>
      </c>
      <c r="E58" s="820" t="s">
        <v>2946</v>
      </c>
      <c r="F58" s="2882" t="s">
        <v>2962</v>
      </c>
      <c r="G58" s="1814" t="s">
        <v>754</v>
      </c>
      <c r="H58" s="2883" t="s">
        <v>2948</v>
      </c>
      <c r="I58" s="181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1814"/>
      <c r="C69" s="1814" t="s">
        <v>2944</v>
      </c>
      <c r="D69" s="1814" t="s">
        <v>2945</v>
      </c>
      <c r="E69" s="820" t="s">
        <v>2946</v>
      </c>
      <c r="F69" s="2882" t="s">
        <v>2962</v>
      </c>
      <c r="G69" s="1814" t="s">
        <v>754</v>
      </c>
      <c r="H69" s="2883" t="s">
        <v>2948</v>
      </c>
      <c r="I69" s="181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1814"/>
      <c r="C80" s="1814" t="s">
        <v>2944</v>
      </c>
      <c r="D80" s="1814" t="s">
        <v>2945</v>
      </c>
      <c r="E80" s="820" t="s">
        <v>2946</v>
      </c>
      <c r="F80" s="2882" t="s">
        <v>2962</v>
      </c>
      <c r="G80" s="1814" t="s">
        <v>754</v>
      </c>
      <c r="H80" s="2883" t="s">
        <v>2948</v>
      </c>
      <c r="I80" s="181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304" t="s">
        <v>2972</v>
      </c>
      <c r="B90" s="3304"/>
      <c r="C90" s="3304"/>
      <c r="D90" s="3304"/>
      <c r="E90" s="3304"/>
      <c r="F90" s="3304"/>
      <c r="G90" s="3304"/>
      <c r="H90" s="3304"/>
      <c r="I90" s="3304"/>
      <c r="J90" s="3304"/>
      <c r="K90" s="2895"/>
      <c r="L90" s="2895"/>
      <c r="M90" s="2895"/>
      <c r="N90" s="2895"/>
    </row>
    <row r="91" spans="1:37">
      <c r="A91" s="3306" t="s">
        <v>2973</v>
      </c>
      <c r="B91" s="3306" t="s">
        <v>2974</v>
      </c>
      <c r="C91" s="2849" t="s">
        <v>2975</v>
      </c>
      <c r="D91" s="2850"/>
      <c r="E91" s="2850"/>
      <c r="F91" s="2850"/>
      <c r="G91" s="2850"/>
      <c r="H91" s="2850"/>
      <c r="I91" s="2850"/>
      <c r="J91" s="2896"/>
      <c r="K91" s="2897"/>
      <c r="L91" s="2897"/>
      <c r="M91" s="2897"/>
      <c r="N91" s="2897"/>
    </row>
    <row r="92" spans="1:37">
      <c r="A92" s="3306"/>
      <c r="B92" s="3306"/>
      <c r="C92" s="946" t="s">
        <v>2840</v>
      </c>
      <c r="D92" s="946" t="s">
        <v>2841</v>
      </c>
      <c r="E92" s="946" t="s">
        <v>2842</v>
      </c>
      <c r="F92" s="946" t="s">
        <v>2843</v>
      </c>
      <c r="G92" s="946" t="s">
        <v>2844</v>
      </c>
      <c r="H92" s="946" t="s">
        <v>2845</v>
      </c>
      <c r="I92" s="946" t="s">
        <v>2846</v>
      </c>
      <c r="J92" s="946" t="s">
        <v>2847</v>
      </c>
      <c r="K92" s="946" t="s">
        <v>2848</v>
      </c>
      <c r="L92" s="946" t="s">
        <v>2849</v>
      </c>
      <c r="M92" s="946" t="s">
        <v>2850</v>
      </c>
      <c r="N92" s="946" t="s">
        <v>2851</v>
      </c>
    </row>
    <row r="93" spans="1:37">
      <c r="A93" s="3307"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8"/>
      <c r="B99" s="2898" t="s">
        <v>2856</v>
      </c>
      <c r="C99" s="2900">
        <f>$I$3</f>
        <v>2</v>
      </c>
      <c r="D99" s="2900">
        <f t="shared" ref="D99:M99" si="30">$I$3</f>
        <v>2</v>
      </c>
      <c r="E99" s="2900">
        <f t="shared" si="30"/>
        <v>2</v>
      </c>
      <c r="F99" s="2900">
        <f t="shared" si="30"/>
        <v>2</v>
      </c>
      <c r="G99" s="2900">
        <f t="shared" si="30"/>
        <v>2</v>
      </c>
      <c r="H99" s="2900">
        <f t="shared" si="30"/>
        <v>2</v>
      </c>
      <c r="I99" s="2900">
        <f t="shared" si="30"/>
        <v>2</v>
      </c>
      <c r="J99" s="2900">
        <f t="shared" si="30"/>
        <v>2</v>
      </c>
      <c r="K99" s="2900">
        <f t="shared" si="30"/>
        <v>2</v>
      </c>
      <c r="L99" s="2900">
        <f t="shared" si="30"/>
        <v>2</v>
      </c>
      <c r="M99" s="2900">
        <f t="shared" si="30"/>
        <v>2</v>
      </c>
      <c r="N99" s="2900">
        <f>$I$3</f>
        <v>2</v>
      </c>
    </row>
    <row r="100" spans="1:14">
      <c r="A100" s="3309"/>
      <c r="B100" s="2898">
        <v>7</v>
      </c>
      <c r="C100" s="2901">
        <f>(-0.163*(C99^2)-0.59*C99+7617)*(10^(-4))</f>
        <v>0.76151679999999999</v>
      </c>
      <c r="D100" s="2901">
        <f>(-0.163*(D99^2)-0.59*D99+7617)*(10^(-4))</f>
        <v>0.76151679999999999</v>
      </c>
      <c r="E100" s="2901">
        <f>(-0.161*(E99^2)-7.509*E99+6533)*(10^(-4))</f>
        <v>0.65173380000000003</v>
      </c>
      <c r="F100" s="2901">
        <f>(-0.161*(F99^2)-7.509*F99+6533)*(10^(-4))</f>
        <v>0.65173380000000003</v>
      </c>
      <c r="G100" s="2901">
        <f>(-0.161*(G99^2)-7.509*G99+6533)*(10^(-4))</f>
        <v>0.65173380000000003</v>
      </c>
      <c r="H100" s="2901">
        <f>(-0.161*(H99^2)-7.509*H99+6533)*(10^(-4))</f>
        <v>0.65173380000000003</v>
      </c>
      <c r="I100" s="2901">
        <f>(-0.161*(I99^2)-7.509*I99+6533)*(10^(-4))</f>
        <v>0.65173380000000003</v>
      </c>
      <c r="J100" s="2901">
        <f>(-0.214*(J99^2)-21.991*J99+4665)*(10^(-4))</f>
        <v>0.46201620000000004</v>
      </c>
      <c r="K100" s="2901">
        <f>(-0.214*(K99^2)-21.991*K99+4665)*(10^(-4))</f>
        <v>0.46201620000000004</v>
      </c>
      <c r="L100" s="2901">
        <f>(-0.214*(L99^2)-21.991*L99+4665)*(10^(-4))</f>
        <v>0.46201620000000004</v>
      </c>
      <c r="M100" s="2901">
        <f>(-0.214*(M99^2)-21.991*M99+4665)*(10^(-4))</f>
        <v>0.46201620000000004</v>
      </c>
      <c r="N100" s="2901">
        <f>(-0.214*(N99^2)-21.991*N99+4665)*(10^(-4))</f>
        <v>0.46201620000000004</v>
      </c>
    </row>
    <row r="101" spans="1:14">
      <c r="A101" s="3307"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308"/>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308"/>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308"/>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308"/>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308"/>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308"/>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308"/>
      <c r="B108" s="3263" t="s">
        <v>2979</v>
      </c>
      <c r="C108" s="2900">
        <f>C99</f>
        <v>2</v>
      </c>
      <c r="D108" s="2900">
        <f t="shared" ref="D108:N108" si="32">D99</f>
        <v>2</v>
      </c>
      <c r="E108" s="2900">
        <f t="shared" si="32"/>
        <v>2</v>
      </c>
      <c r="F108" s="2900">
        <f t="shared" si="32"/>
        <v>2</v>
      </c>
      <c r="G108" s="2900">
        <f t="shared" si="32"/>
        <v>2</v>
      </c>
      <c r="H108" s="2900">
        <f t="shared" si="32"/>
        <v>2</v>
      </c>
      <c r="I108" s="2900">
        <f t="shared" si="32"/>
        <v>2</v>
      </c>
      <c r="J108" s="2900">
        <f t="shared" si="32"/>
        <v>2</v>
      </c>
      <c r="K108" s="2900">
        <f t="shared" si="32"/>
        <v>2</v>
      </c>
      <c r="L108" s="2900">
        <f t="shared" si="32"/>
        <v>2</v>
      </c>
      <c r="M108" s="2900">
        <f t="shared" si="32"/>
        <v>2</v>
      </c>
      <c r="N108" s="2900">
        <f t="shared" si="32"/>
        <v>2</v>
      </c>
    </row>
    <row r="109" spans="1:14">
      <c r="A109" s="3309"/>
      <c r="B109" s="3264"/>
      <c r="C109" s="2901">
        <f>(-0.163*(C108^2)-0.59*C108+7617)*(10^(-4))/C101</f>
        <v>0.11198776470588236</v>
      </c>
      <c r="D109" s="2901">
        <f>(-0.163*(D108^2)-0.59*D108+7617)*(10^(-4))/D101</f>
        <v>0.11198776470588236</v>
      </c>
      <c r="E109" s="2901">
        <f>(-0.161*(E108^2)-7.509*E108+6533)*(10^(-4))/E101</f>
        <v>9.5843205882352941E-2</v>
      </c>
      <c r="F109" s="2901">
        <f>(-0.161*(F108^2)-7.509*F108+6533)*(10^(-4))/F101</f>
        <v>9.5843205882352941E-2</v>
      </c>
      <c r="G109" s="2901">
        <f>(-0.161*(G108^2)-7.509*G108+6533)*(10^(-4))/G101</f>
        <v>9.5843205882352941E-2</v>
      </c>
      <c r="H109" s="2901">
        <f>(-0.161*(H108^2)-7.509*H108+6533)*(10^(-4))/H101</f>
        <v>9.5843205882352941E-2</v>
      </c>
      <c r="I109" s="2901">
        <f>(-0.161*(I108^2)-7.509*I108+6533)*(10^(-4))/I101</f>
        <v>9.5843205882352941E-2</v>
      </c>
      <c r="J109" s="2901">
        <f>(-0.214*(J108^2)-21.991*J108+4665)*(10^(-4))/J101</f>
        <v>6.7943558823529426E-2</v>
      </c>
      <c r="K109" s="2901">
        <f>(-0.214*(K108^2)-21.991*K108+4665)*(10^(-4))/K101</f>
        <v>6.7943558823529426E-2</v>
      </c>
      <c r="L109" s="2901">
        <f>(-0.214*(L108^2)-21.991*L108+4665)*(10^(-4))/L101</f>
        <v>6.7943558823529426E-2</v>
      </c>
      <c r="M109" s="2901">
        <f>(-0.214*(M108^2)-21.991*M108+4665)*(10^(-4))/M101</f>
        <v>6.7943558823529426E-2</v>
      </c>
      <c r="N109" s="2901">
        <f>(-0.214*(N108^2)-21.991*N108+4665)*(10^(-4))/N101</f>
        <v>6.7943558823529426E-2</v>
      </c>
    </row>
    <row r="110" spans="1:14">
      <c r="A110" s="3305" t="s">
        <v>2980</v>
      </c>
      <c r="B110" s="3305"/>
      <c r="C110" s="3305"/>
      <c r="D110" s="3305"/>
      <c r="E110" s="3305"/>
      <c r="F110" s="3305"/>
      <c r="G110" s="3305"/>
      <c r="H110" s="3305"/>
      <c r="I110" s="3305"/>
      <c r="J110" s="3305"/>
      <c r="K110" s="2904"/>
      <c r="L110" s="2904"/>
      <c r="M110" s="2904"/>
      <c r="N110" s="2904"/>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52" priority="5" stopIfTrue="1" operator="notEqual">
      <formula>"——"</formula>
    </cfRule>
  </conditionalFormatting>
  <conditionalFormatting sqref="F59">
    <cfRule type="cellIs" dxfId="251" priority="4" stopIfTrue="1" operator="notEqual">
      <formula>"——"</formula>
    </cfRule>
  </conditionalFormatting>
  <conditionalFormatting sqref="F70">
    <cfRule type="cellIs" dxfId="250" priority="3" stopIfTrue="1" operator="notEqual">
      <formula>"——"</formula>
    </cfRule>
  </conditionalFormatting>
  <conditionalFormatting sqref="F81">
    <cfRule type="cellIs" dxfId="249" priority="2" stopIfTrue="1" operator="notEqual">
      <formula>"——"</formula>
    </cfRule>
  </conditionalFormatting>
  <conditionalFormatting sqref="H48:H56 H59:H67 H70:H78 H81:H88">
    <cfRule type="cellIs" dxfId="2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8531.07</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36604</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42907</v>
      </c>
      <c r="C3" s="2724" t="s">
        <v>2819</v>
      </c>
      <c r="D3" s="2725" t="s">
        <v>2820</v>
      </c>
      <c r="E3" s="2730" t="s">
        <v>3433</v>
      </c>
      <c r="F3" s="2731" t="s">
        <v>3434</v>
      </c>
      <c r="G3" s="917">
        <f>IF(F3="宗地容积率",'数据-汇总表'!I4,IF(F3="估价对象容积率",'数据-汇总表'!I6,'数据-汇总表'!I7))</f>
        <v>6.8</v>
      </c>
      <c r="H3" s="199" t="s">
        <v>2821</v>
      </c>
      <c r="I3" s="948">
        <v>1</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96"/>
      <c r="B4" s="3297"/>
      <c r="C4" s="3297"/>
      <c r="D4" s="3298"/>
      <c r="E4" s="3298"/>
      <c r="F4" s="3298"/>
      <c r="G4" s="3298"/>
      <c r="H4" s="3298"/>
      <c r="I4" s="3298"/>
      <c r="J4" s="3299"/>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300"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3032" t="s">
        <v>2834</v>
      </c>
      <c r="X7" s="1609" t="str">
        <f>G2</f>
        <v>三级</v>
      </c>
      <c r="Y7" s="1609" t="s">
        <v>2835</v>
      </c>
      <c r="Z7" s="1610">
        <f>G3</f>
        <v>6.8</v>
      </c>
      <c r="AA7" s="1611"/>
      <c r="AB7" s="1611"/>
      <c r="AC7" s="1612"/>
      <c r="AD7" s="1613"/>
      <c r="AE7" s="1613"/>
      <c r="AF7" s="1613"/>
      <c r="AG7" s="1613"/>
      <c r="AH7" s="1613"/>
      <c r="AI7" s="1613"/>
      <c r="AJ7" s="1614"/>
    </row>
    <row r="8" spans="1:36" ht="25.5">
      <c r="A8" s="3301"/>
      <c r="B8" s="199" t="s">
        <v>2836</v>
      </c>
      <c r="C8" s="2753" t="s">
        <v>3436</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3" t="s">
        <v>2839</v>
      </c>
      <c r="X8" s="3294"/>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301"/>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95"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01"/>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95"/>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01"/>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95" t="s">
        <v>2863</v>
      </c>
      <c r="X11" s="1619" t="s">
        <v>2835</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300"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95"/>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2"/>
      <c r="B13" s="2767" t="s">
        <v>2870</v>
      </c>
      <c r="C13" s="2768" t="s">
        <v>2871</v>
      </c>
      <c r="D13" s="3025" t="s">
        <v>2872</v>
      </c>
      <c r="E13" s="3025"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295"/>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02"/>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3"/>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300" t="s">
        <v>2882</v>
      </c>
      <c r="B16" s="2748" t="s">
        <v>2883</v>
      </c>
      <c r="C16" s="3026">
        <f>ROUND(SUM(G17:J17)/C17,0)</f>
        <v>0</v>
      </c>
      <c r="D16" s="2782" t="s">
        <v>2884</v>
      </c>
      <c r="E16" s="2783" t="s">
        <v>3435</v>
      </c>
      <c r="F16" s="2784" t="s">
        <v>3437</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301"/>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3449</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3028">
        <f>IF(B21="容积率修正",IF(G3&lt;=10,D22,J22),C23)</f>
        <v>1.8629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3027" t="s">
        <v>2907</v>
      </c>
      <c r="D22" s="3027">
        <f>IF(E22=G22,F22,IF(G3&lt;=10,ROUND(F22+(H22-F22)*(G3-E22)/(G22-E22),4),"——"))</f>
        <v>0.77159999999999995</v>
      </c>
      <c r="E22" s="917">
        <f>ROUNDDOWN(G3,1)</f>
        <v>6.8</v>
      </c>
      <c r="F22" s="30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30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3027"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1.8629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36604</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45312</v>
      </c>
      <c r="D29" s="2848">
        <f>面积!C38+面积!C39+面积!K28</f>
        <v>7912.07</v>
      </c>
      <c r="E29" s="3031">
        <f ca="1">ROUND(C29*D29/10000,0)</f>
        <v>35851</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11328</v>
      </c>
      <c r="D30" s="2854"/>
      <c r="E30" s="3031">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10"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11"/>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11"/>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12"/>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3024" t="s">
        <v>2943</v>
      </c>
      <c r="C47" s="3024" t="s">
        <v>2944</v>
      </c>
      <c r="D47" s="3024" t="s">
        <v>2945</v>
      </c>
      <c r="E47" s="820" t="s">
        <v>2946</v>
      </c>
      <c r="F47" s="2882" t="s">
        <v>2947</v>
      </c>
      <c r="G47" s="3024" t="s">
        <v>754</v>
      </c>
      <c r="H47" s="2883" t="s">
        <v>2948</v>
      </c>
      <c r="I47" s="302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3281</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3282</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3281</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3281</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3282</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3281</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3282</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3282</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3283</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3024"/>
      <c r="C58" s="3024" t="s">
        <v>2944</v>
      </c>
      <c r="D58" s="3024" t="s">
        <v>2945</v>
      </c>
      <c r="E58" s="820" t="s">
        <v>2946</v>
      </c>
      <c r="F58" s="2882" t="s">
        <v>2962</v>
      </c>
      <c r="G58" s="3024" t="s">
        <v>754</v>
      </c>
      <c r="H58" s="2883" t="s">
        <v>2948</v>
      </c>
      <c r="I58" s="302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3024"/>
      <c r="C69" s="3024" t="s">
        <v>2944</v>
      </c>
      <c r="D69" s="3024" t="s">
        <v>2945</v>
      </c>
      <c r="E69" s="820" t="s">
        <v>2946</v>
      </c>
      <c r="F69" s="2882" t="s">
        <v>2962</v>
      </c>
      <c r="G69" s="3024" t="s">
        <v>754</v>
      </c>
      <c r="H69" s="2883" t="s">
        <v>2948</v>
      </c>
      <c r="I69" s="302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3024"/>
      <c r="C80" s="3024" t="s">
        <v>2944</v>
      </c>
      <c r="D80" s="3024" t="s">
        <v>2945</v>
      </c>
      <c r="E80" s="820" t="s">
        <v>2946</v>
      </c>
      <c r="F80" s="2882" t="s">
        <v>2962</v>
      </c>
      <c r="G80" s="3024" t="s">
        <v>754</v>
      </c>
      <c r="H80" s="2883" t="s">
        <v>2948</v>
      </c>
      <c r="I80" s="302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304" t="s">
        <v>2972</v>
      </c>
      <c r="B90" s="3304"/>
      <c r="C90" s="3304"/>
      <c r="D90" s="3304"/>
      <c r="E90" s="3304"/>
      <c r="F90" s="3304"/>
      <c r="G90" s="3304"/>
      <c r="H90" s="3304"/>
      <c r="I90" s="3304"/>
      <c r="J90" s="3304"/>
      <c r="K90" s="3029"/>
      <c r="L90" s="3029"/>
      <c r="M90" s="3029"/>
      <c r="N90" s="3029"/>
    </row>
    <row r="91" spans="1:37">
      <c r="A91" s="3306" t="s">
        <v>2973</v>
      </c>
      <c r="B91" s="3306" t="s">
        <v>2974</v>
      </c>
      <c r="C91" s="2849" t="s">
        <v>2975</v>
      </c>
      <c r="D91" s="2850"/>
      <c r="E91" s="2850"/>
      <c r="F91" s="2850"/>
      <c r="G91" s="2850"/>
      <c r="H91" s="2850"/>
      <c r="I91" s="2850"/>
      <c r="J91" s="2896"/>
      <c r="K91" s="2897"/>
      <c r="L91" s="2897"/>
      <c r="M91" s="2897"/>
      <c r="N91" s="2897"/>
    </row>
    <row r="92" spans="1:37">
      <c r="A92" s="3306"/>
      <c r="B92" s="3306"/>
      <c r="C92" s="3031" t="s">
        <v>2840</v>
      </c>
      <c r="D92" s="3031" t="s">
        <v>2841</v>
      </c>
      <c r="E92" s="3031" t="s">
        <v>2842</v>
      </c>
      <c r="F92" s="3031" t="s">
        <v>2843</v>
      </c>
      <c r="G92" s="3031" t="s">
        <v>2844</v>
      </c>
      <c r="H92" s="3031" t="s">
        <v>2845</v>
      </c>
      <c r="I92" s="3031" t="s">
        <v>2846</v>
      </c>
      <c r="J92" s="3031" t="s">
        <v>2847</v>
      </c>
      <c r="K92" s="3031" t="s">
        <v>2848</v>
      </c>
      <c r="L92" s="3031" t="s">
        <v>2849</v>
      </c>
      <c r="M92" s="3031" t="s">
        <v>2850</v>
      </c>
      <c r="N92" s="3031" t="s">
        <v>2851</v>
      </c>
    </row>
    <row r="93" spans="1:37">
      <c r="A93" s="3307"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8"/>
      <c r="B99" s="2898" t="s">
        <v>2856</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309"/>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307"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308"/>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308"/>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308"/>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308"/>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308"/>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308"/>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308"/>
      <c r="B108" s="3263" t="s">
        <v>2869</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309"/>
      <c r="B109" s="3264"/>
      <c r="C109" s="2901">
        <f>(-0.163*(C108^2)-0.59*C108+7617)*(10^(-4))/C101</f>
        <v>0.11200363235294118</v>
      </c>
      <c r="D109" s="2901">
        <f>(-0.163*(D108^2)-0.59*D108+7617)*(10^(-4))/D101</f>
        <v>0.11200363235294118</v>
      </c>
      <c r="E109" s="2901">
        <f>(-0.161*(E108^2)-7.509*E108+6533)*(10^(-4))/E101</f>
        <v>9.5960735294117652E-2</v>
      </c>
      <c r="F109" s="2901">
        <f>(-0.161*(F108^2)-7.509*F108+6533)*(10^(-4))/F101</f>
        <v>9.5960735294117652E-2</v>
      </c>
      <c r="G109" s="2901">
        <f>(-0.161*(G108^2)-7.509*G108+6533)*(10^(-4))/G101</f>
        <v>9.5960735294117652E-2</v>
      </c>
      <c r="H109" s="2901">
        <f>(-0.161*(H108^2)-7.509*H108+6533)*(10^(-4))/H101</f>
        <v>9.5960735294117652E-2</v>
      </c>
      <c r="I109" s="2901">
        <f>(-0.161*(I108^2)-7.509*I108+6533)*(10^(-4))/I101</f>
        <v>9.5960735294117652E-2</v>
      </c>
      <c r="J109" s="2901">
        <f>(-0.214*(J108^2)-21.991*J108+4665)*(10^(-4))/J101</f>
        <v>6.8276397058823532E-2</v>
      </c>
      <c r="K109" s="2901">
        <f>(-0.214*(K108^2)-21.991*K108+4665)*(10^(-4))/K101</f>
        <v>6.8276397058823532E-2</v>
      </c>
      <c r="L109" s="2901">
        <f>(-0.214*(L108^2)-21.991*L108+4665)*(10^(-4))/L101</f>
        <v>6.8276397058823532E-2</v>
      </c>
      <c r="M109" s="2901">
        <f>(-0.214*(M108^2)-21.991*M108+4665)*(10^(-4))/M101</f>
        <v>6.8276397058823532E-2</v>
      </c>
      <c r="N109" s="2901">
        <f>(-0.214*(N108^2)-21.991*N108+4665)*(10^(-4))/N101</f>
        <v>6.8276397058823532E-2</v>
      </c>
    </row>
    <row r="110" spans="1:14">
      <c r="A110" s="3305" t="s">
        <v>2980</v>
      </c>
      <c r="B110" s="3305"/>
      <c r="C110" s="3305"/>
      <c r="D110" s="3305"/>
      <c r="E110" s="3305"/>
      <c r="F110" s="3305"/>
      <c r="G110" s="3305"/>
      <c r="H110" s="3305"/>
      <c r="I110" s="3305"/>
      <c r="J110" s="3305"/>
      <c r="K110" s="3030"/>
      <c r="L110" s="3030"/>
      <c r="M110" s="3030"/>
      <c r="N110" s="3030"/>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247" priority="5" stopIfTrue="1" operator="notEqual">
      <formula>"——"</formula>
    </cfRule>
  </conditionalFormatting>
  <conditionalFormatting sqref="F59">
    <cfRule type="cellIs" dxfId="246" priority="4" stopIfTrue="1" operator="notEqual">
      <formula>"——"</formula>
    </cfRule>
  </conditionalFormatting>
  <conditionalFormatting sqref="F70">
    <cfRule type="cellIs" dxfId="245" priority="3" stopIfTrue="1" operator="notEqual">
      <formula>"——"</formula>
    </cfRule>
  </conditionalFormatting>
  <conditionalFormatting sqref="F81">
    <cfRule type="cellIs" dxfId="244" priority="2" stopIfTrue="1" operator="notEqual">
      <formula>"——"</formula>
    </cfRule>
  </conditionalFormatting>
  <conditionalFormatting sqref="H48:H56 H59:H67 H70:H78 H81:H88">
    <cfRule type="cellIs" dxfId="2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4" sqref="H34"/>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6"/>
      <c r="C1" s="1587"/>
      <c r="D1" s="1585"/>
      <c r="E1" s="321"/>
      <c r="F1" s="321"/>
      <c r="G1" s="1586"/>
      <c r="H1" s="321"/>
      <c r="I1" s="321"/>
      <c r="J1" s="321"/>
      <c r="K1" s="321">
        <f>MATCH(C1,'数据-取费表'!A6:A16,0)+5</f>
        <v>10</v>
      </c>
    </row>
    <row r="2" spans="1:33" ht="18" customHeight="1">
      <c r="A2" s="246" t="s">
        <v>2330</v>
      </c>
      <c r="B2" s="249">
        <f ca="1">C32</f>
        <v>43284</v>
      </c>
      <c r="C2" s="321" t="s">
        <v>2463</v>
      </c>
      <c r="D2" s="321"/>
      <c r="E2" s="321"/>
      <c r="F2" s="321"/>
      <c r="G2" s="321"/>
      <c r="H2" s="321"/>
      <c r="I2" s="321"/>
      <c r="J2" s="321"/>
      <c r="K2" s="321"/>
    </row>
    <row r="3" spans="1:33" ht="18" customHeight="1" thickBot="1">
      <c r="A3" s="248" t="s">
        <v>2332</v>
      </c>
      <c r="B3" s="249">
        <f ca="1">ROUND(B2*10000/IF(C1="",'数据-汇总表'!E3,INDIRECT("'数据-取费表'!K"&amp;$K$1)),0)</f>
        <v>6514</v>
      </c>
      <c r="C3" s="321" t="s">
        <v>2464</v>
      </c>
      <c r="D3" s="321"/>
      <c r="E3" s="321"/>
      <c r="F3" s="321"/>
      <c r="G3" s="321"/>
      <c r="H3" s="321"/>
      <c r="I3" s="321"/>
      <c r="J3" s="321"/>
      <c r="K3" s="321"/>
    </row>
    <row r="4" spans="1:33" s="960" customFormat="1" ht="16.5" customHeight="1">
      <c r="A4" s="957" t="s">
        <v>2465</v>
      </c>
      <c r="B4" s="958"/>
      <c r="C4" s="1000">
        <f ca="1">SUM(C8:K8)</f>
        <v>48839</v>
      </c>
      <c r="D4" s="958"/>
      <c r="E4" s="958"/>
      <c r="F4" s="958"/>
      <c r="G4" s="958"/>
      <c r="H4" s="958"/>
      <c r="I4" s="958"/>
      <c r="J4" s="958"/>
      <c r="K4" s="959"/>
    </row>
    <row r="5" spans="1:33" s="964" customFormat="1" ht="15">
      <c r="A5" s="961" t="s">
        <v>2466</v>
      </c>
      <c r="B5" s="962" t="s">
        <v>2467</v>
      </c>
      <c r="C5" s="2557" t="s">
        <v>1378</v>
      </c>
      <c r="D5" s="2557" t="s">
        <v>48</v>
      </c>
      <c r="E5" s="2557"/>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2468</v>
      </c>
      <c r="C6" s="966">
        <f>典型户型修正!B21</f>
        <v>83964</v>
      </c>
      <c r="D6" s="966">
        <f ca="1">'收益法-未租商业'!B3</f>
        <v>41229</v>
      </c>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2471</v>
      </c>
      <c r="B8" s="178" t="s">
        <v>2472</v>
      </c>
      <c r="C8" s="1001">
        <f>典型户型修正!B20</f>
        <v>37948</v>
      </c>
      <c r="D8" s="1001">
        <f ca="1">'收益法-未租商业'!B2</f>
        <v>10891</v>
      </c>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2473</v>
      </c>
      <c r="B9" s="958"/>
      <c r="C9" s="958"/>
      <c r="D9" s="958"/>
      <c r="E9" s="958"/>
      <c r="F9" s="958"/>
      <c r="G9" s="958"/>
      <c r="H9" s="958"/>
      <c r="I9" s="958"/>
      <c r="J9" s="958"/>
      <c r="K9" s="959"/>
    </row>
    <row r="10" spans="1:33" s="974" customFormat="1" ht="13.5" customHeight="1">
      <c r="A10" s="961" t="s">
        <v>2474</v>
      </c>
      <c r="B10" s="8" t="s">
        <v>2475</v>
      </c>
      <c r="C10" s="970" t="s">
        <v>2476</v>
      </c>
      <c r="D10" s="971" t="s">
        <v>2477</v>
      </c>
      <c r="E10" s="971" t="s">
        <v>2478</v>
      </c>
      <c r="F10" s="971" t="s">
        <v>2479</v>
      </c>
      <c r="G10" s="8"/>
      <c r="H10" s="972"/>
      <c r="I10" s="972"/>
      <c r="J10" s="972"/>
      <c r="K10" s="973"/>
    </row>
    <row r="11" spans="1:33" s="979" customFormat="1" ht="13.5" customHeight="1">
      <c r="A11" s="975" t="s">
        <v>1335</v>
      </c>
      <c r="B11" s="976" t="s">
        <v>2480</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2481</v>
      </c>
      <c r="C12" s="24">
        <f ca="1">ROUND(C11*F12,0)</f>
        <v>0</v>
      </c>
      <c r="D12" s="977"/>
      <c r="E12" s="376"/>
      <c r="F12" s="980">
        <f>'数据-取费表'!B33</f>
        <v>0.05</v>
      </c>
      <c r="G12" s="8" t="s">
        <v>2482</v>
      </c>
      <c r="H12" s="972"/>
      <c r="I12" s="972"/>
      <c r="J12" s="972"/>
      <c r="K12" s="973"/>
    </row>
    <row r="13" spans="1:33" s="979" customFormat="1" ht="13.5" customHeight="1">
      <c r="A13" s="975" t="s">
        <v>1337</v>
      </c>
      <c r="B13" s="976" t="s">
        <v>2483</v>
      </c>
      <c r="C13" s="24">
        <f ca="1">ROUND(IF(C1="",SUMIF('数据-取费表'!C:C,"住宅",'数据-取费表'!P:P)*F13,IF(INDIRECT("'数据-取费表'!c"&amp;$K$1)="住宅",INDIRECT("'数据-取费表'!P"&amp;$K$1)*F13,0)),0)</f>
        <v>0</v>
      </c>
      <c r="D13" s="1037"/>
      <c r="E13" s="376"/>
      <c r="F13" s="980">
        <f>'数据-取费表'!B34</f>
        <v>0</v>
      </c>
      <c r="G13" s="8" t="s">
        <v>2484</v>
      </c>
      <c r="H13" s="972"/>
      <c r="I13" s="972"/>
      <c r="J13" s="972"/>
      <c r="K13" s="973"/>
    </row>
    <row r="14" spans="1:33" s="981" customFormat="1" ht="13.5" customHeight="1">
      <c r="A14" s="975" t="s">
        <v>1338</v>
      </c>
      <c r="B14" s="976" t="s">
        <v>2485</v>
      </c>
      <c r="C14" s="24">
        <f ca="1">ROUND(D14*E14*F11/10000,0)</f>
        <v>0</v>
      </c>
      <c r="D14" s="1037">
        <f ca="1">IF(C1="",'数据-汇总表'!E3,INDIRECT("'数据-取费表'!K"&amp;$K$1)+INDIRECT("'数据-取费表'!S"&amp;$K$1))</f>
        <v>66448.330000000016</v>
      </c>
      <c r="E14" s="24">
        <f>'数据-取费表'!B35</f>
        <v>200</v>
      </c>
      <c r="F14" s="980"/>
      <c r="G14" s="8" t="s">
        <v>2486</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2487</v>
      </c>
      <c r="C15" s="987">
        <f ca="1">ROUND(C11*F15,0)</f>
        <v>0</v>
      </c>
      <c r="D15" s="982"/>
      <c r="E15" s="987"/>
      <c r="F15" s="988">
        <f>'数据-取费表'!B36</f>
        <v>1.4999999999999999E-2</v>
      </c>
      <c r="G15" s="140" t="s">
        <v>2488</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2489</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2490</v>
      </c>
      <c r="C17" s="24">
        <f ca="1">ROUND(D17*E17/10000,0)</f>
        <v>0</v>
      </c>
      <c r="D17" s="1037">
        <f ca="1">D14</f>
        <v>66448.330000000016</v>
      </c>
      <c r="E17" s="24">
        <f>'数据-取费表'!B32</f>
        <v>0</v>
      </c>
      <c r="F17" s="982"/>
      <c r="G17" s="140" t="s">
        <v>2491</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2492</v>
      </c>
      <c r="C18" s="24">
        <f ca="1">C19+C20-IF(C1="",'数据-取费表'!B29,IF(G18="已全部缴纳",C19+C20,H18))</f>
        <v>1329</v>
      </c>
      <c r="D18" s="1037"/>
      <c r="E18" s="24"/>
      <c r="F18" s="980"/>
      <c r="G18" s="2559"/>
      <c r="H18" s="1582"/>
      <c r="I18" s="2560" t="s">
        <v>2493</v>
      </c>
      <c r="J18" s="983"/>
      <c r="K18" s="984"/>
    </row>
    <row r="19" spans="1:33" s="979" customFormat="1" ht="13.5" customHeight="1">
      <c r="A19" s="975" t="s">
        <v>805</v>
      </c>
      <c r="B19" s="976" t="s">
        <v>2494</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2495</v>
      </c>
      <c r="C20" s="24">
        <f ca="1">ROUND(D20*E20/10000,0)</f>
        <v>1329</v>
      </c>
      <c r="D20" s="1037">
        <f ca="1">IF(C1="",'数据-汇总表'!E6,IF(INDIRECT("'数据-取费表'!c"&amp;$K$1)="住宅",INDIRECT("'数据-取费表'!s"&amp;$K$1),INDIRECT("'数据-取费表'!k"&amp;$K$1)+INDIRECT("'数据-取费表'!s"&amp;$K$1)))</f>
        <v>66448.330000000016</v>
      </c>
      <c r="E20" s="24">
        <f>'数据-取费表'!B28</f>
        <v>200</v>
      </c>
      <c r="F20" s="980"/>
      <c r="G20" s="15"/>
      <c r="H20" s="985"/>
      <c r="I20" s="985"/>
      <c r="J20" s="985"/>
      <c r="K20" s="986"/>
    </row>
    <row r="21" spans="1:33" s="979" customFormat="1" ht="13.5" customHeight="1">
      <c r="A21" s="965" t="s">
        <v>802</v>
      </c>
      <c r="B21" s="989" t="s">
        <v>2496</v>
      </c>
      <c r="C21" s="990">
        <f ca="1">C16+C17+C18</f>
        <v>1329</v>
      </c>
      <c r="D21" s="991"/>
      <c r="E21" s="326"/>
      <c r="F21" s="326"/>
      <c r="G21" s="140" t="s">
        <v>2497</v>
      </c>
      <c r="H21" s="983"/>
      <c r="I21" s="983"/>
      <c r="J21" s="983"/>
      <c r="K21" s="984"/>
    </row>
    <row r="22" spans="1:33" s="979" customFormat="1" ht="13.5" customHeight="1">
      <c r="A22" s="965" t="s">
        <v>2469</v>
      </c>
      <c r="B22" s="989" t="s">
        <v>2498</v>
      </c>
      <c r="C22" s="990">
        <f ca="1">ROUND(C21*F22,0)</f>
        <v>27</v>
      </c>
      <c r="D22" s="326"/>
      <c r="E22" s="326"/>
      <c r="F22" s="992">
        <f>'数据-取费表'!B37</f>
        <v>0.02</v>
      </c>
      <c r="G22" s="8" t="s">
        <v>2499</v>
      </c>
      <c r="H22" s="972"/>
      <c r="I22" s="972"/>
      <c r="J22" s="972"/>
      <c r="K22" s="973"/>
    </row>
    <row r="23" spans="1:33" s="979" customFormat="1" ht="13.5" customHeight="1">
      <c r="A23" s="965" t="s">
        <v>2471</v>
      </c>
      <c r="B23" s="989" t="s">
        <v>2500</v>
      </c>
      <c r="C23" s="990">
        <f ca="1">ROUND(C4*F23*F11,0)</f>
        <v>0</v>
      </c>
      <c r="D23" s="326"/>
      <c r="E23" s="326"/>
      <c r="F23" s="992">
        <f>'数据-取费表'!B38</f>
        <v>0.02</v>
      </c>
      <c r="G23" s="8" t="s">
        <v>2501</v>
      </c>
      <c r="H23" s="972"/>
      <c r="I23" s="972"/>
      <c r="J23" s="972"/>
      <c r="K23" s="973"/>
    </row>
    <row r="24" spans="1:33" s="979" customFormat="1" ht="13.5" customHeight="1">
      <c r="A24" s="965" t="s">
        <v>2502</v>
      </c>
      <c r="B24" s="989" t="s">
        <v>2503</v>
      </c>
      <c r="C24" s="325">
        <f>ROUND(F24/(1+'数据-取费表'!C42),4)</f>
        <v>2.9000000000000001E-2</v>
      </c>
      <c r="D24" s="326" t="s">
        <v>15</v>
      </c>
      <c r="E24" s="326"/>
      <c r="F24" s="992">
        <f>'数据-取费表'!B48+'数据-取费表'!B49</f>
        <v>3.0499999999999999E-2</v>
      </c>
      <c r="G24" s="8" t="s">
        <v>2504</v>
      </c>
      <c r="H24" s="994"/>
      <c r="I24" s="994"/>
      <c r="J24" s="994"/>
      <c r="K24" s="995"/>
    </row>
    <row r="25" spans="1:33" s="979" customFormat="1" ht="13.5" customHeight="1">
      <c r="A25" s="965" t="s">
        <v>2505</v>
      </c>
      <c r="B25" s="991" t="s">
        <v>2506</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2507</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2508</v>
      </c>
      <c r="C27" s="1362">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2509</v>
      </c>
      <c r="B28" s="2562" t="s">
        <v>2510</v>
      </c>
      <c r="C28" s="332">
        <f ca="1">C30</f>
        <v>339</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2511</v>
      </c>
      <c r="C29" s="329">
        <f ca="1">ROUND((1+C24)*F28*'数据-取费表'!B24/'数据-取费表'!B20,4)</f>
        <v>0</v>
      </c>
      <c r="D29" s="329"/>
      <c r="E29" s="330"/>
      <c r="F29" s="335"/>
      <c r="G29" s="140" t="s">
        <v>2512</v>
      </c>
      <c r="H29" s="983"/>
      <c r="I29" s="983"/>
      <c r="J29" s="983"/>
      <c r="K29" s="984"/>
    </row>
    <row r="30" spans="1:33" s="336" customFormat="1" ht="13.5" customHeight="1">
      <c r="A30" s="975" t="s">
        <v>804</v>
      </c>
      <c r="B30" s="998" t="s">
        <v>2513</v>
      </c>
      <c r="C30" s="337">
        <f ca="1">ROUND((C21+C22+C23)*F28,0)</f>
        <v>339</v>
      </c>
      <c r="D30" s="329"/>
      <c r="E30" s="330"/>
      <c r="F30" s="335"/>
      <c r="G30" s="140"/>
      <c r="H30" s="983"/>
      <c r="I30" s="983"/>
      <c r="J30" s="983"/>
      <c r="K30" s="984"/>
    </row>
    <row r="31" spans="1:33" s="979" customFormat="1" ht="13.5" customHeight="1" thickBot="1">
      <c r="A31" s="2563" t="s">
        <v>2514</v>
      </c>
      <c r="B31" s="1009" t="s">
        <v>2515</v>
      </c>
      <c r="C31" s="1010">
        <f ca="1">ROUND(C4*F31/(1+'数据-取费表'!C42),0)</f>
        <v>2605</v>
      </c>
      <c r="D31" s="1011"/>
      <c r="E31" s="1012"/>
      <c r="F31" s="1013">
        <f>'数据-取费表'!B41</f>
        <v>5.6000000000000001E-2</v>
      </c>
      <c r="G31" s="1014" t="s">
        <v>2516</v>
      </c>
      <c r="H31" s="1015"/>
      <c r="I31" s="1015"/>
      <c r="J31" s="1015"/>
      <c r="K31" s="1016"/>
    </row>
    <row r="32" spans="1:33" s="974" customFormat="1" ht="13.5" customHeight="1" thickBot="1">
      <c r="A32" s="1004" t="s">
        <v>2517</v>
      </c>
      <c r="B32" s="1005"/>
      <c r="C32" s="1006">
        <f ca="1">ROUND((C4-C21-C22-C23-C25-C28-C31)/(1+C24+D25+D28),0)</f>
        <v>43284</v>
      </c>
      <c r="D32" s="1005"/>
      <c r="E32" s="1005"/>
      <c r="F32" s="1005"/>
      <c r="G32" s="1007" t="s">
        <v>2518</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IF(C2="——",ROUND(C50*D3/10000,0),ROUND(C50*D3/10000,0)-D2)</f>
        <v>#DIV/0!</v>
      </c>
      <c r="C2" s="2589"/>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35" t="s">
        <v>2651</v>
      </c>
      <c r="Q4" s="3336"/>
      <c r="R4" s="3341" t="s">
        <v>2647</v>
      </c>
      <c r="S4" s="3342"/>
      <c r="T4" s="3341" t="s">
        <v>2648</v>
      </c>
      <c r="U4" s="3342"/>
      <c r="V4" s="3347" t="s">
        <v>2649</v>
      </c>
      <c r="W4" s="3347"/>
      <c r="X4" s="2673"/>
      <c r="Y4" s="3341" t="s">
        <v>2651</v>
      </c>
      <c r="Z4" s="3342"/>
      <c r="AA4" s="3359" t="s">
        <v>2647</v>
      </c>
      <c r="AB4" s="3359" t="s">
        <v>2648</v>
      </c>
      <c r="AC4" s="3328" t="s">
        <v>2649</v>
      </c>
    </row>
    <row r="5" spans="1:29" ht="15">
      <c r="A5" s="405"/>
      <c r="B5" s="406"/>
      <c r="C5" s="3351" t="s">
        <v>2542</v>
      </c>
      <c r="D5" s="3352"/>
      <c r="E5" s="3362" t="s">
        <v>2543</v>
      </c>
      <c r="F5" s="3363"/>
      <c r="G5" s="3351" t="s">
        <v>2544</v>
      </c>
      <c r="H5" s="3352"/>
      <c r="I5" s="3351" t="s">
        <v>2545</v>
      </c>
      <c r="J5" s="3352"/>
      <c r="K5" s="611"/>
      <c r="L5" s="1134"/>
      <c r="M5" s="1135"/>
      <c r="N5" s="1135"/>
      <c r="O5" s="1135"/>
      <c r="P5" s="3337"/>
      <c r="Q5" s="3338"/>
      <c r="R5" s="3343"/>
      <c r="S5" s="3344"/>
      <c r="T5" s="3343"/>
      <c r="U5" s="3344"/>
      <c r="V5" s="3348"/>
      <c r="W5" s="3348"/>
      <c r="X5" s="1818"/>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1818"/>
      <c r="Y6" s="3345"/>
      <c r="Z6" s="3346"/>
      <c r="AA6" s="3361"/>
      <c r="AB6" s="3361"/>
      <c r="AC6" s="3330"/>
    </row>
    <row r="7" spans="1:29" s="117" customFormat="1" ht="15.75" thickBot="1">
      <c r="A7" s="409" t="s">
        <v>2548</v>
      </c>
      <c r="B7" s="410"/>
      <c r="C7" s="411">
        <f>'数据-取费表'!B2</f>
        <v>43104</v>
      </c>
      <c r="D7" s="412">
        <v>100</v>
      </c>
      <c r="E7" s="413"/>
      <c r="F7" s="414">
        <f>SUMIF(59:59,YEAR(E7)&amp;"-"&amp;MONTH(E7),60:60)</f>
        <v>0</v>
      </c>
      <c r="G7" s="413"/>
      <c r="H7" s="412">
        <f>SUMIF(59:59,YEAR(G7)&amp;"-"&amp;MONTH(G7),60:60)</f>
        <v>0</v>
      </c>
      <c r="I7" s="413"/>
      <c r="J7" s="412">
        <f>SUMIF(59:59,YEAR(I7)&amp;"-"&amp;MONTH(I7),60:60)</f>
        <v>0</v>
      </c>
      <c r="K7" s="612"/>
      <c r="L7" s="1136"/>
      <c r="M7" s="1137"/>
      <c r="N7" s="1137"/>
      <c r="O7" s="1137"/>
      <c r="P7" s="3353" t="s">
        <v>2549</v>
      </c>
      <c r="Q7" s="3356"/>
      <c r="R7" s="771" t="s">
        <v>17</v>
      </c>
      <c r="S7" s="772">
        <f t="shared" ref="S7:S15" si="0">F7</f>
        <v>0</v>
      </c>
      <c r="T7" s="771" t="s">
        <v>17</v>
      </c>
      <c r="U7" s="772">
        <f t="shared" ref="U7:U15" si="1">H7</f>
        <v>0</v>
      </c>
      <c r="V7" s="771" t="s">
        <v>17</v>
      </c>
      <c r="W7" s="772">
        <f t="shared" ref="W7:W15" si="2">J7</f>
        <v>0</v>
      </c>
      <c r="X7" s="773"/>
      <c r="Y7" s="3355" t="s">
        <v>2549</v>
      </c>
      <c r="Z7" s="3354"/>
      <c r="AA7" s="774" t="e">
        <f>D7/F7</f>
        <v>#DIV/0!</v>
      </c>
      <c r="AB7" s="774" t="e">
        <f>D7/H7</f>
        <v>#DIV/0!</v>
      </c>
      <c r="AC7" s="2674" t="e">
        <f>D7/J7</f>
        <v>#DIV/0!</v>
      </c>
    </row>
    <row r="8" spans="1:29" s="117" customFormat="1" ht="15.75" thickBot="1">
      <c r="A8" s="409" t="s">
        <v>2550</v>
      </c>
      <c r="B8" s="410"/>
      <c r="C8" s="415" t="s">
        <v>2652</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353" t="s">
        <v>2552</v>
      </c>
      <c r="Q8" s="3354"/>
      <c r="R8" s="771" t="s">
        <v>17</v>
      </c>
      <c r="S8" s="772">
        <f t="shared" si="0"/>
        <v>0</v>
      </c>
      <c r="T8" s="771" t="s">
        <v>17</v>
      </c>
      <c r="U8" s="772">
        <f t="shared" si="1"/>
        <v>0</v>
      </c>
      <c r="V8" s="771" t="s">
        <v>17</v>
      </c>
      <c r="W8" s="772">
        <f t="shared" si="2"/>
        <v>0</v>
      </c>
      <c r="X8" s="773"/>
      <c r="Y8" s="3355" t="s">
        <v>2552</v>
      </c>
      <c r="Z8" s="3354"/>
      <c r="AA8" s="774" t="e">
        <f t="shared" ref="AA8:AA47" si="3">D8/F8</f>
        <v>#DIV/0!</v>
      </c>
      <c r="AB8" s="774" t="e">
        <f t="shared" ref="AB8:AB47" si="4">D8/H8</f>
        <v>#DIV/0!</v>
      </c>
      <c r="AC8" s="2674" t="e">
        <f t="shared" ref="AC8:AC47" si="5">D8/J8</f>
        <v>#DIV/0!</v>
      </c>
    </row>
    <row r="9" spans="1:29" s="117" customFormat="1">
      <c r="A9" s="416" t="s">
        <v>2553</v>
      </c>
      <c r="B9" s="71" t="s">
        <v>2554</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313"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2674">
        <f t="shared" si="5"/>
        <v>1</v>
      </c>
    </row>
    <row r="10" spans="1:29" s="428" customFormat="1" ht="27">
      <c r="A10" s="422"/>
      <c r="B10" s="423" t="s">
        <v>2557</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313"/>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2674">
        <f t="shared" si="5"/>
        <v>1</v>
      </c>
    </row>
    <row r="11" spans="1:29" ht="15">
      <c r="A11" s="429"/>
      <c r="B11" s="423" t="s">
        <v>2558</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313"/>
      <c r="Q11" s="1800" t="str">
        <f t="shared" si="6"/>
        <v>容积率</v>
      </c>
      <c r="R11" s="771" t="s">
        <v>17</v>
      </c>
      <c r="S11" s="772" t="e">
        <f t="shared" si="0"/>
        <v>#N/A</v>
      </c>
      <c r="T11" s="771" t="s">
        <v>17</v>
      </c>
      <c r="U11" s="772" t="e">
        <f t="shared" si="1"/>
        <v>#N/A</v>
      </c>
      <c r="V11" s="771" t="s">
        <v>17</v>
      </c>
      <c r="W11" s="772" t="e">
        <f t="shared" si="2"/>
        <v>#N/A</v>
      </c>
      <c r="X11" s="773"/>
      <c r="Y11" s="3148"/>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1800">
        <f t="shared" si="6"/>
        <v>111</v>
      </c>
      <c r="R14" s="771" t="s">
        <v>17</v>
      </c>
      <c r="S14" s="772">
        <f t="shared" si="0"/>
        <v>100</v>
      </c>
      <c r="T14" s="771" t="s">
        <v>17</v>
      </c>
      <c r="U14" s="772">
        <f t="shared" si="1"/>
        <v>100</v>
      </c>
      <c r="V14" s="771" t="s">
        <v>17</v>
      </c>
      <c r="W14" s="772">
        <f t="shared" si="2"/>
        <v>100</v>
      </c>
      <c r="X14" s="773"/>
      <c r="Y14" s="3148"/>
      <c r="Z14" s="55">
        <f t="shared" si="7"/>
        <v>111</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319" t="s">
        <v>2560</v>
      </c>
      <c r="Q15" s="1815" t="str">
        <f t="shared" si="6"/>
        <v>办公集聚程度</v>
      </c>
      <c r="R15" s="775" t="s">
        <v>17</v>
      </c>
      <c r="S15" s="776">
        <f t="shared" si="0"/>
        <v>100</v>
      </c>
      <c r="T15" s="775" t="s">
        <v>17</v>
      </c>
      <c r="U15" s="776">
        <f t="shared" si="1"/>
        <v>100</v>
      </c>
      <c r="V15" s="775" t="s">
        <v>17</v>
      </c>
      <c r="W15" s="776">
        <f t="shared" si="2"/>
        <v>100</v>
      </c>
      <c r="X15" s="1818"/>
      <c r="Y15" s="3321" t="s">
        <v>2560</v>
      </c>
      <c r="Z15" s="1819" t="str">
        <f t="shared" si="7"/>
        <v>办公集聚程度</v>
      </c>
      <c r="AA15" s="1816">
        <f t="shared" si="3"/>
        <v>1</v>
      </c>
      <c r="AB15" s="1816">
        <f t="shared" si="4"/>
        <v>1</v>
      </c>
      <c r="AC15" s="2677">
        <f t="shared" si="5"/>
        <v>1</v>
      </c>
    </row>
    <row r="16" spans="1:29" ht="15">
      <c r="A16" s="429"/>
      <c r="B16" s="631"/>
      <c r="C16" s="2614"/>
      <c r="D16" s="449"/>
      <c r="E16" s="448"/>
      <c r="F16" s="449"/>
      <c r="G16" s="2614"/>
      <c r="H16" s="451"/>
      <c r="I16" s="448"/>
      <c r="J16" s="449"/>
      <c r="K16" s="616"/>
      <c r="L16" s="1144"/>
      <c r="M16" s="1135"/>
      <c r="N16" s="1135"/>
      <c r="O16" s="1135"/>
      <c r="P16" s="3320"/>
      <c r="Q16" s="1815"/>
      <c r="R16" s="775"/>
      <c r="S16" s="776"/>
      <c r="T16" s="775"/>
      <c r="U16" s="776"/>
      <c r="V16" s="775"/>
      <c r="W16" s="776"/>
      <c r="X16" s="1818"/>
      <c r="Y16" s="3322"/>
      <c r="Z16" s="1819"/>
      <c r="AA16" s="1816">
        <v>1</v>
      </c>
      <c r="AB16" s="1816">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320"/>
      <c r="Q17" s="1815" t="str">
        <f>B17</f>
        <v>交通便捷度</v>
      </c>
      <c r="R17" s="775" t="s">
        <v>17</v>
      </c>
      <c r="S17" s="776">
        <f>F17</f>
        <v>100</v>
      </c>
      <c r="T17" s="775" t="s">
        <v>17</v>
      </c>
      <c r="U17" s="776">
        <f>H17</f>
        <v>100</v>
      </c>
      <c r="V17" s="775" t="s">
        <v>17</v>
      </c>
      <c r="W17" s="776">
        <f>J17</f>
        <v>100</v>
      </c>
      <c r="X17" s="1818"/>
      <c r="Y17" s="3322"/>
      <c r="Z17" s="1819" t="str">
        <f>Q17</f>
        <v>交通便捷度</v>
      </c>
      <c r="AA17" s="1816">
        <f t="shared" si="3"/>
        <v>1</v>
      </c>
      <c r="AB17" s="1816">
        <f t="shared" si="4"/>
        <v>1</v>
      </c>
      <c r="AC17" s="2677">
        <f t="shared" si="5"/>
        <v>1</v>
      </c>
    </row>
    <row r="18" spans="1:29" ht="15">
      <c r="A18" s="429"/>
      <c r="B18" s="633"/>
      <c r="C18" s="2679"/>
      <c r="D18" s="451"/>
      <c r="E18" s="2612"/>
      <c r="F18" s="451"/>
      <c r="G18" s="2613"/>
      <c r="H18" s="449"/>
      <c r="I18" s="2613"/>
      <c r="J18" s="449"/>
      <c r="K18" s="616"/>
      <c r="L18" s="1144"/>
      <c r="M18" s="1135"/>
      <c r="N18" s="1135"/>
      <c r="O18" s="1135"/>
      <c r="P18" s="3320"/>
      <c r="Q18" s="1815"/>
      <c r="R18" s="775"/>
      <c r="S18" s="776"/>
      <c r="T18" s="775"/>
      <c r="U18" s="776"/>
      <c r="V18" s="775"/>
      <c r="W18" s="776"/>
      <c r="X18" s="1818"/>
      <c r="Y18" s="3322"/>
      <c r="Z18" s="1819"/>
      <c r="AA18" s="1816">
        <v>1</v>
      </c>
      <c r="AB18" s="1816">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320"/>
      <c r="Q19" s="1815" t="str">
        <f>B19</f>
        <v>公共配套设施</v>
      </c>
      <c r="R19" s="775" t="s">
        <v>17</v>
      </c>
      <c r="S19" s="776">
        <f>F19</f>
        <v>100</v>
      </c>
      <c r="T19" s="775" t="s">
        <v>17</v>
      </c>
      <c r="U19" s="776">
        <f>H19</f>
        <v>100</v>
      </c>
      <c r="V19" s="775" t="s">
        <v>17</v>
      </c>
      <c r="W19" s="776">
        <f>J19</f>
        <v>100</v>
      </c>
      <c r="X19" s="1818"/>
      <c r="Y19" s="3322"/>
      <c r="Z19" s="1819" t="str">
        <f>Q19</f>
        <v>公共配套设施</v>
      </c>
      <c r="AA19" s="1816">
        <f t="shared" si="3"/>
        <v>1</v>
      </c>
      <c r="AB19" s="1816">
        <f t="shared" si="4"/>
        <v>1</v>
      </c>
      <c r="AC19" s="2677">
        <f t="shared" si="5"/>
        <v>1</v>
      </c>
    </row>
    <row r="20" spans="1:29" ht="15">
      <c r="A20" s="429"/>
      <c r="B20" s="633"/>
      <c r="C20" s="2614"/>
      <c r="D20" s="449"/>
      <c r="E20" s="2607"/>
      <c r="F20" s="449"/>
      <c r="G20" s="2608"/>
      <c r="H20" s="449"/>
      <c r="I20" s="2608"/>
      <c r="J20" s="449"/>
      <c r="K20" s="616"/>
      <c r="L20" s="1144"/>
      <c r="M20" s="1135"/>
      <c r="N20" s="1135"/>
      <c r="O20" s="1135"/>
      <c r="P20" s="3320"/>
      <c r="Q20" s="1815"/>
      <c r="R20" s="775"/>
      <c r="S20" s="776"/>
      <c r="T20" s="775"/>
      <c r="U20" s="776"/>
      <c r="V20" s="775"/>
      <c r="W20" s="776"/>
      <c r="X20" s="1818"/>
      <c r="Y20" s="3322"/>
      <c r="Z20" s="1819"/>
      <c r="AA20" s="1816">
        <v>1</v>
      </c>
      <c r="AB20" s="1816">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320"/>
      <c r="Q21" s="1815" t="str">
        <f>B21</f>
        <v>基础设施水平</v>
      </c>
      <c r="R21" s="775" t="s">
        <v>17</v>
      </c>
      <c r="S21" s="776">
        <f>F21</f>
        <v>100</v>
      </c>
      <c r="T21" s="775" t="s">
        <v>17</v>
      </c>
      <c r="U21" s="776">
        <f>H21</f>
        <v>100</v>
      </c>
      <c r="V21" s="775" t="s">
        <v>17</v>
      </c>
      <c r="W21" s="776">
        <f>J21</f>
        <v>100</v>
      </c>
      <c r="X21" s="1818"/>
      <c r="Y21" s="3322"/>
      <c r="Z21" s="1819" t="str">
        <f>Q21</f>
        <v>基础设施水平</v>
      </c>
      <c r="AA21" s="1816">
        <f t="shared" ref="AA21" si="8">D21/F21</f>
        <v>1</v>
      </c>
      <c r="AB21" s="1816">
        <f t="shared" ref="AB21" si="9">D21/H21</f>
        <v>1</v>
      </c>
      <c r="AC21" s="2677">
        <f t="shared" ref="AC21" si="10">D21/J21</f>
        <v>1</v>
      </c>
    </row>
    <row r="22" spans="1:29" ht="15">
      <c r="A22" s="429"/>
      <c r="B22" s="634"/>
      <c r="C22" s="2679"/>
      <c r="D22" s="449"/>
      <c r="E22" s="448"/>
      <c r="F22" s="449"/>
      <c r="G22" s="2614"/>
      <c r="H22" s="449"/>
      <c r="I22" s="2614"/>
      <c r="J22" s="449"/>
      <c r="K22" s="1387"/>
      <c r="L22" s="1144"/>
      <c r="M22" s="1135"/>
      <c r="N22" s="1135"/>
      <c r="O22" s="1135"/>
      <c r="P22" s="3320"/>
      <c r="Q22" s="1815"/>
      <c r="R22" s="775"/>
      <c r="S22" s="776"/>
      <c r="T22" s="775"/>
      <c r="U22" s="776"/>
      <c r="V22" s="775"/>
      <c r="W22" s="776"/>
      <c r="X22" s="1818"/>
      <c r="Y22" s="3322"/>
      <c r="Z22" s="1819"/>
      <c r="AA22" s="1816">
        <v>1</v>
      </c>
      <c r="AB22" s="1816">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320"/>
      <c r="Q23" s="1815" t="str">
        <f>B23</f>
        <v>环境质量</v>
      </c>
      <c r="R23" s="775" t="s">
        <v>17</v>
      </c>
      <c r="S23" s="776">
        <f>F23</f>
        <v>100</v>
      </c>
      <c r="T23" s="775" t="s">
        <v>17</v>
      </c>
      <c r="U23" s="776">
        <f>H23</f>
        <v>100</v>
      </c>
      <c r="V23" s="775" t="s">
        <v>17</v>
      </c>
      <c r="W23" s="776">
        <f>J23</f>
        <v>100</v>
      </c>
      <c r="X23" s="1818"/>
      <c r="Y23" s="3322"/>
      <c r="Z23" s="1819" t="str">
        <f>Q23</f>
        <v>环境质量</v>
      </c>
      <c r="AA23" s="1816">
        <f t="shared" si="3"/>
        <v>1</v>
      </c>
      <c r="AB23" s="1816">
        <f t="shared" si="4"/>
        <v>1</v>
      </c>
      <c r="AC23" s="2677">
        <f t="shared" si="5"/>
        <v>1</v>
      </c>
    </row>
    <row r="24" spans="1:29" ht="15">
      <c r="A24" s="429"/>
      <c r="B24" s="634"/>
      <c r="C24" s="2614"/>
      <c r="D24" s="449"/>
      <c r="E24" s="2607"/>
      <c r="F24" s="449"/>
      <c r="G24" s="2608"/>
      <c r="H24" s="449"/>
      <c r="I24" s="2608"/>
      <c r="J24" s="449"/>
      <c r="K24" s="616"/>
      <c r="L24" s="1144"/>
      <c r="M24" s="1135"/>
      <c r="N24" s="1135"/>
      <c r="O24" s="1135"/>
      <c r="P24" s="3320"/>
      <c r="Q24" s="1815"/>
      <c r="R24" s="775"/>
      <c r="S24" s="776"/>
      <c r="T24" s="775"/>
      <c r="U24" s="776"/>
      <c r="V24" s="775"/>
      <c r="W24" s="776"/>
      <c r="X24" s="1818"/>
      <c r="Y24" s="3322"/>
      <c r="Z24" s="1819"/>
      <c r="AA24" s="1816">
        <v>1</v>
      </c>
      <c r="AB24" s="1816">
        <v>1</v>
      </c>
      <c r="AC24" s="2677">
        <v>1</v>
      </c>
    </row>
    <row r="25" spans="1:29" ht="27">
      <c r="A25" s="405"/>
      <c r="B25" s="632" t="s">
        <v>2691</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320"/>
      <c r="Q25" s="1815" t="str">
        <f>B25</f>
        <v>毗邻道路的类型与等级</v>
      </c>
      <c r="R25" s="775" t="s">
        <v>17</v>
      </c>
      <c r="S25" s="776">
        <f>F25</f>
        <v>100</v>
      </c>
      <c r="T25" s="775" t="s">
        <v>17</v>
      </c>
      <c r="U25" s="776">
        <f>H25</f>
        <v>100</v>
      </c>
      <c r="V25" s="775" t="s">
        <v>17</v>
      </c>
      <c r="W25" s="776">
        <f>J25</f>
        <v>100</v>
      </c>
      <c r="X25" s="1818"/>
      <c r="Y25" s="3322"/>
      <c r="Z25" s="1819" t="str">
        <f>Q25</f>
        <v>毗邻道路的类型与等级</v>
      </c>
      <c r="AA25" s="1816">
        <f t="shared" si="3"/>
        <v>1</v>
      </c>
      <c r="AB25" s="1816">
        <f t="shared" si="4"/>
        <v>1</v>
      </c>
      <c r="AC25" s="2677">
        <f t="shared" si="5"/>
        <v>1</v>
      </c>
    </row>
    <row r="26" spans="1:29" ht="15">
      <c r="A26" s="405"/>
      <c r="B26" s="633"/>
      <c r="C26" s="635"/>
      <c r="D26" s="436"/>
      <c r="E26" s="617"/>
      <c r="F26" s="436"/>
      <c r="G26" s="635"/>
      <c r="H26" s="436"/>
      <c r="I26" s="617"/>
      <c r="J26" s="436"/>
      <c r="K26" s="616"/>
      <c r="L26" s="1144"/>
      <c r="M26" s="1135"/>
      <c r="N26" s="1135"/>
      <c r="O26" s="1135"/>
      <c r="P26" s="3320"/>
      <c r="Q26" s="1815"/>
      <c r="R26" s="775"/>
      <c r="S26" s="776"/>
      <c r="T26" s="775"/>
      <c r="U26" s="776"/>
      <c r="V26" s="775"/>
      <c r="W26" s="776"/>
      <c r="X26" s="1818"/>
      <c r="Y26" s="3322"/>
      <c r="Z26" s="1819"/>
      <c r="AA26" s="1816">
        <v>1</v>
      </c>
      <c r="AB26" s="1816">
        <v>1</v>
      </c>
      <c r="AC26" s="2677">
        <v>1</v>
      </c>
    </row>
    <row r="27" spans="1:29" ht="15">
      <c r="A27" s="429"/>
      <c r="B27" s="633" t="s">
        <v>2659</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320"/>
      <c r="Q27" s="1815" t="str">
        <f t="shared" ref="Q27:Q47" si="11">B27</f>
        <v>楼层</v>
      </c>
      <c r="R27" s="775" t="s">
        <v>17</v>
      </c>
      <c r="S27" s="776">
        <f>F27</f>
        <v>100</v>
      </c>
      <c r="T27" s="775" t="s">
        <v>17</v>
      </c>
      <c r="U27" s="776">
        <f>H27</f>
        <v>100</v>
      </c>
      <c r="V27" s="775" t="s">
        <v>17</v>
      </c>
      <c r="W27" s="776">
        <f>J27</f>
        <v>100</v>
      </c>
      <c r="X27" s="1818"/>
      <c r="Y27" s="3322"/>
      <c r="Z27" s="1819" t="str">
        <f>Q27</f>
        <v>楼层</v>
      </c>
      <c r="AA27" s="1816">
        <f t="shared" si="3"/>
        <v>1</v>
      </c>
      <c r="AB27" s="1816">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320"/>
      <c r="Q28" s="1800" t="str">
        <f t="shared" si="11"/>
        <v>朝向</v>
      </c>
      <c r="R28" s="771" t="s">
        <v>17</v>
      </c>
      <c r="S28" s="772">
        <f>F28</f>
        <v>100</v>
      </c>
      <c r="T28" s="771" t="s">
        <v>17</v>
      </c>
      <c r="U28" s="772">
        <f>H28</f>
        <v>100</v>
      </c>
      <c r="V28" s="771" t="s">
        <v>17</v>
      </c>
      <c r="W28" s="772">
        <f>J28</f>
        <v>100</v>
      </c>
      <c r="X28" s="773"/>
      <c r="Y28" s="3322"/>
      <c r="Z28" s="55" t="str">
        <f>Q28</f>
        <v>朝向</v>
      </c>
      <c r="AA28" s="1816">
        <f>D28/F28</f>
        <v>1</v>
      </c>
      <c r="AB28" s="181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1815">
        <f t="shared" si="11"/>
        <v>111</v>
      </c>
      <c r="R29" s="775" t="s">
        <v>17</v>
      </c>
      <c r="S29" s="776">
        <f t="shared" ref="S29:S47" si="12">F29</f>
        <v>100</v>
      </c>
      <c r="T29" s="775" t="s">
        <v>17</v>
      </c>
      <c r="U29" s="776">
        <f t="shared" ref="U29:U47" si="13">H29</f>
        <v>100</v>
      </c>
      <c r="V29" s="775" t="s">
        <v>17</v>
      </c>
      <c r="W29" s="776">
        <f t="shared" ref="W29:W47" si="14">J29</f>
        <v>100</v>
      </c>
      <c r="X29" s="1818"/>
      <c r="Y29" s="3322"/>
      <c r="Z29" s="1819">
        <f t="shared" ref="Z29:Z47" si="15">Q29</f>
        <v>111</v>
      </c>
      <c r="AA29" s="1816">
        <f t="shared" si="3"/>
        <v>1</v>
      </c>
      <c r="AB29" s="181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1815">
        <f t="shared" si="11"/>
        <v>111</v>
      </c>
      <c r="R30" s="775" t="s">
        <v>17</v>
      </c>
      <c r="S30" s="776">
        <f t="shared" si="12"/>
        <v>100</v>
      </c>
      <c r="T30" s="775" t="s">
        <v>17</v>
      </c>
      <c r="U30" s="776">
        <f t="shared" si="13"/>
        <v>100</v>
      </c>
      <c r="V30" s="775" t="s">
        <v>17</v>
      </c>
      <c r="W30" s="776">
        <f t="shared" si="14"/>
        <v>100</v>
      </c>
      <c r="X30" s="1818"/>
      <c r="Y30" s="3322"/>
      <c r="Z30" s="1819">
        <f t="shared" si="15"/>
        <v>111</v>
      </c>
      <c r="AA30" s="1816">
        <f t="shared" si="3"/>
        <v>1</v>
      </c>
      <c r="AB30" s="181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1815">
        <f t="shared" si="11"/>
        <v>111</v>
      </c>
      <c r="R31" s="775" t="s">
        <v>17</v>
      </c>
      <c r="S31" s="776">
        <f t="shared" si="12"/>
        <v>100</v>
      </c>
      <c r="T31" s="775" t="s">
        <v>17</v>
      </c>
      <c r="U31" s="776">
        <f t="shared" si="13"/>
        <v>100</v>
      </c>
      <c r="V31" s="775" t="s">
        <v>17</v>
      </c>
      <c r="W31" s="776">
        <f t="shared" si="14"/>
        <v>100</v>
      </c>
      <c r="X31" s="1818"/>
      <c r="Y31" s="3322"/>
      <c r="Z31" s="1819">
        <f t="shared" si="15"/>
        <v>111</v>
      </c>
      <c r="AA31" s="1816">
        <f t="shared" si="3"/>
        <v>1</v>
      </c>
      <c r="AB31" s="181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1815">
        <f t="shared" si="11"/>
        <v>111</v>
      </c>
      <c r="R32" s="775" t="s">
        <v>17</v>
      </c>
      <c r="S32" s="776">
        <f t="shared" si="12"/>
        <v>100</v>
      </c>
      <c r="T32" s="775" t="s">
        <v>17</v>
      </c>
      <c r="U32" s="776">
        <f t="shared" si="13"/>
        <v>100</v>
      </c>
      <c r="V32" s="775" t="s">
        <v>17</v>
      </c>
      <c r="W32" s="776">
        <f t="shared" si="14"/>
        <v>100</v>
      </c>
      <c r="X32" s="1818"/>
      <c r="Y32" s="3322"/>
      <c r="Z32" s="1819">
        <f t="shared" si="15"/>
        <v>111</v>
      </c>
      <c r="AA32" s="1816">
        <f t="shared" si="3"/>
        <v>1</v>
      </c>
      <c r="AB32" s="1816">
        <f t="shared" si="4"/>
        <v>1</v>
      </c>
      <c r="AC32" s="2677">
        <f t="shared" si="5"/>
        <v>1</v>
      </c>
    </row>
    <row r="33" spans="1:29" ht="15">
      <c r="A33" s="441" t="s">
        <v>2563</v>
      </c>
      <c r="B33" s="71" t="s">
        <v>2693</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323" t="s">
        <v>2565</v>
      </c>
      <c r="Q33" s="1815" t="str">
        <f t="shared" si="11"/>
        <v>建筑类型</v>
      </c>
      <c r="R33" s="775" t="s">
        <v>17</v>
      </c>
      <c r="S33" s="776">
        <f t="shared" si="12"/>
        <v>100</v>
      </c>
      <c r="T33" s="775" t="s">
        <v>17</v>
      </c>
      <c r="U33" s="776">
        <f t="shared" si="13"/>
        <v>100</v>
      </c>
      <c r="V33" s="775" t="s">
        <v>17</v>
      </c>
      <c r="W33" s="776">
        <f t="shared" si="14"/>
        <v>100</v>
      </c>
      <c r="X33" s="1818"/>
      <c r="Y33" s="3326" t="s">
        <v>2565</v>
      </c>
      <c r="Z33" s="1819" t="str">
        <f t="shared" si="15"/>
        <v>建筑类型</v>
      </c>
      <c r="AA33" s="1816">
        <f t="shared" si="3"/>
        <v>1</v>
      </c>
      <c r="AB33" s="1816">
        <f t="shared" si="4"/>
        <v>1</v>
      </c>
      <c r="AC33" s="2677">
        <f t="shared" si="5"/>
        <v>1</v>
      </c>
    </row>
    <row r="34" spans="1:29" s="472" customFormat="1" ht="15">
      <c r="A34" s="469"/>
      <c r="B34" s="423" t="s">
        <v>2566</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324"/>
      <c r="Q34" s="777" t="str">
        <f t="shared" si="11"/>
        <v>项目建筑规模</v>
      </c>
      <c r="R34" s="778" t="s">
        <v>17</v>
      </c>
      <c r="S34" s="779" t="e">
        <f t="shared" si="12"/>
        <v>#N/A</v>
      </c>
      <c r="T34" s="778" t="s">
        <v>17</v>
      </c>
      <c r="U34" s="779" t="e">
        <f t="shared" si="13"/>
        <v>#N/A</v>
      </c>
      <c r="V34" s="778" t="s">
        <v>17</v>
      </c>
      <c r="W34" s="779" t="e">
        <f t="shared" si="14"/>
        <v>#N/A</v>
      </c>
      <c r="X34" s="780"/>
      <c r="Y34" s="3326"/>
      <c r="Z34" s="781" t="str">
        <f t="shared" si="15"/>
        <v>项目建筑规模</v>
      </c>
      <c r="AA34" s="1816" t="e">
        <f t="shared" si="3"/>
        <v>#N/A</v>
      </c>
      <c r="AB34" s="1816" t="e">
        <f t="shared" si="4"/>
        <v>#N/A</v>
      </c>
      <c r="AC34" s="2677" t="e">
        <f t="shared" si="5"/>
        <v>#N/A</v>
      </c>
    </row>
    <row r="35" spans="1:29" ht="15">
      <c r="A35" s="473"/>
      <c r="B35" s="423" t="s">
        <v>2567</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324"/>
      <c r="Q35" s="1815" t="str">
        <f t="shared" si="11"/>
        <v>建筑结构</v>
      </c>
      <c r="R35" s="775" t="s">
        <v>17</v>
      </c>
      <c r="S35" s="776">
        <f t="shared" si="12"/>
        <v>100</v>
      </c>
      <c r="T35" s="775" t="s">
        <v>17</v>
      </c>
      <c r="U35" s="776">
        <f t="shared" si="13"/>
        <v>100</v>
      </c>
      <c r="V35" s="775" t="s">
        <v>17</v>
      </c>
      <c r="W35" s="776">
        <f t="shared" si="14"/>
        <v>100</v>
      </c>
      <c r="X35" s="1818"/>
      <c r="Y35" s="3326"/>
      <c r="Z35" s="1819" t="str">
        <f t="shared" si="15"/>
        <v>建筑结构</v>
      </c>
      <c r="AA35" s="1816">
        <f t="shared" si="3"/>
        <v>1</v>
      </c>
      <c r="AB35" s="1816">
        <f t="shared" si="4"/>
        <v>1</v>
      </c>
      <c r="AC35" s="2677">
        <f t="shared" si="5"/>
        <v>1</v>
      </c>
    </row>
    <row r="36" spans="1:29" ht="15">
      <c r="A36" s="473"/>
      <c r="B36" s="423" t="s">
        <v>2661</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324"/>
      <c r="Q36" s="1815" t="str">
        <f t="shared" si="11"/>
        <v>公共部分装修</v>
      </c>
      <c r="R36" s="775" t="s">
        <v>17</v>
      </c>
      <c r="S36" s="776">
        <f t="shared" si="12"/>
        <v>100</v>
      </c>
      <c r="T36" s="775" t="s">
        <v>17</v>
      </c>
      <c r="U36" s="776">
        <f t="shared" si="13"/>
        <v>100</v>
      </c>
      <c r="V36" s="775" t="s">
        <v>17</v>
      </c>
      <c r="W36" s="776">
        <f t="shared" si="14"/>
        <v>100</v>
      </c>
      <c r="X36" s="1818"/>
      <c r="Y36" s="3326"/>
      <c r="Z36" s="1819" t="str">
        <f t="shared" si="15"/>
        <v>公共部分装修</v>
      </c>
      <c r="AA36" s="1816">
        <f t="shared" si="3"/>
        <v>1</v>
      </c>
      <c r="AB36" s="1816">
        <f t="shared" si="4"/>
        <v>1</v>
      </c>
      <c r="AC36" s="2677">
        <f t="shared" si="5"/>
        <v>1</v>
      </c>
    </row>
    <row r="37" spans="1:29" ht="15">
      <c r="A37" s="473"/>
      <c r="B37" s="423" t="s">
        <v>2662</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324"/>
      <c r="Q37" s="1815" t="str">
        <f t="shared" si="11"/>
        <v>成新度</v>
      </c>
      <c r="R37" s="775" t="s">
        <v>17</v>
      </c>
      <c r="S37" s="776" t="e">
        <f t="shared" si="12"/>
        <v>#N/A</v>
      </c>
      <c r="T37" s="775" t="s">
        <v>17</v>
      </c>
      <c r="U37" s="776" t="e">
        <f t="shared" si="13"/>
        <v>#N/A</v>
      </c>
      <c r="V37" s="775" t="s">
        <v>17</v>
      </c>
      <c r="W37" s="776" t="e">
        <f t="shared" si="14"/>
        <v>#N/A</v>
      </c>
      <c r="X37" s="1818"/>
      <c r="Y37" s="3326"/>
      <c r="Z37" s="1819" t="str">
        <f t="shared" si="15"/>
        <v>成新度</v>
      </c>
      <c r="AA37" s="1816" t="e">
        <f t="shared" si="3"/>
        <v>#N/A</v>
      </c>
      <c r="AB37" s="1816" t="e">
        <f t="shared" si="4"/>
        <v>#N/A</v>
      </c>
      <c r="AC37" s="2677" t="e">
        <f t="shared" si="5"/>
        <v>#N/A</v>
      </c>
    </row>
    <row r="38" spans="1:29" s="117" customFormat="1" ht="15">
      <c r="A38" s="474"/>
      <c r="B38" s="423" t="s">
        <v>2694</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324"/>
      <c r="Q38" s="1800" t="str">
        <f t="shared" si="11"/>
        <v>写字楼等级</v>
      </c>
      <c r="R38" s="771" t="s">
        <v>17</v>
      </c>
      <c r="S38" s="772">
        <f t="shared" si="12"/>
        <v>100</v>
      </c>
      <c r="T38" s="771" t="s">
        <v>17</v>
      </c>
      <c r="U38" s="772">
        <f t="shared" si="13"/>
        <v>100</v>
      </c>
      <c r="V38" s="771" t="s">
        <v>17</v>
      </c>
      <c r="W38" s="772">
        <f t="shared" si="14"/>
        <v>100</v>
      </c>
      <c r="X38" s="773"/>
      <c r="Y38" s="3326"/>
      <c r="Z38" s="55" t="str">
        <f t="shared" si="15"/>
        <v>写字楼等级</v>
      </c>
      <c r="AA38" s="774">
        <f t="shared" si="3"/>
        <v>1</v>
      </c>
      <c r="AB38" s="774">
        <f t="shared" si="4"/>
        <v>1</v>
      </c>
      <c r="AC38" s="2674">
        <f t="shared" si="5"/>
        <v>1</v>
      </c>
    </row>
    <row r="39" spans="1:29" ht="15">
      <c r="A39" s="473"/>
      <c r="B39" s="423" t="s">
        <v>2695</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324" t="s">
        <v>2565</v>
      </c>
      <c r="Q39" s="1815" t="str">
        <f t="shared" si="11"/>
        <v>物业管理</v>
      </c>
      <c r="R39" s="775" t="s">
        <v>17</v>
      </c>
      <c r="S39" s="776">
        <f t="shared" si="12"/>
        <v>100</v>
      </c>
      <c r="T39" s="775" t="s">
        <v>17</v>
      </c>
      <c r="U39" s="776">
        <f t="shared" si="13"/>
        <v>100</v>
      </c>
      <c r="V39" s="775" t="s">
        <v>17</v>
      </c>
      <c r="W39" s="776">
        <f t="shared" si="14"/>
        <v>100</v>
      </c>
      <c r="X39" s="1818"/>
      <c r="Y39" s="3326" t="s">
        <v>2565</v>
      </c>
      <c r="Z39" s="1819" t="str">
        <f t="shared" si="15"/>
        <v>物业管理</v>
      </c>
      <c r="AA39" s="1816">
        <f t="shared" si="3"/>
        <v>1</v>
      </c>
      <c r="AB39" s="1816">
        <f t="shared" si="4"/>
        <v>1</v>
      </c>
      <c r="AC39" s="2677">
        <f t="shared" si="5"/>
        <v>1</v>
      </c>
    </row>
    <row r="40" spans="1:29" ht="15">
      <c r="A40" s="473"/>
      <c r="B40" s="423" t="s">
        <v>2663</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324"/>
      <c r="Q40" s="1815" t="str">
        <f t="shared" si="11"/>
        <v>市政基础设施</v>
      </c>
      <c r="R40" s="775" t="s">
        <v>17</v>
      </c>
      <c r="S40" s="776">
        <f t="shared" si="12"/>
        <v>100</v>
      </c>
      <c r="T40" s="775" t="s">
        <v>17</v>
      </c>
      <c r="U40" s="776">
        <f t="shared" si="13"/>
        <v>100</v>
      </c>
      <c r="V40" s="775" t="s">
        <v>17</v>
      </c>
      <c r="W40" s="776">
        <f t="shared" si="14"/>
        <v>100</v>
      </c>
      <c r="X40" s="1818"/>
      <c r="Y40" s="3326"/>
      <c r="Z40" s="1819" t="str">
        <f t="shared" si="15"/>
        <v>市政基础设施</v>
      </c>
      <c r="AA40" s="1816">
        <f t="shared" si="3"/>
        <v>1</v>
      </c>
      <c r="AB40" s="1816">
        <f t="shared" si="4"/>
        <v>1</v>
      </c>
      <c r="AC40" s="2677">
        <f t="shared" si="5"/>
        <v>1</v>
      </c>
    </row>
    <row r="41" spans="1:29" ht="15">
      <c r="A41" s="473"/>
      <c r="B41" s="423" t="s">
        <v>2665</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324"/>
      <c r="Q41" s="1815" t="str">
        <f t="shared" si="11"/>
        <v>层高</v>
      </c>
      <c r="R41" s="775" t="s">
        <v>17</v>
      </c>
      <c r="S41" s="776">
        <f t="shared" si="12"/>
        <v>100</v>
      </c>
      <c r="T41" s="775" t="s">
        <v>17</v>
      </c>
      <c r="U41" s="776">
        <f t="shared" si="13"/>
        <v>100</v>
      </c>
      <c r="V41" s="775" t="s">
        <v>17</v>
      </c>
      <c r="W41" s="776">
        <f t="shared" si="14"/>
        <v>100</v>
      </c>
      <c r="X41" s="1818"/>
      <c r="Y41" s="3326"/>
      <c r="Z41" s="1819" t="str">
        <f t="shared" si="15"/>
        <v>层高</v>
      </c>
      <c r="AA41" s="1816">
        <f t="shared" si="3"/>
        <v>1</v>
      </c>
      <c r="AB41" s="1816">
        <f t="shared" si="4"/>
        <v>1</v>
      </c>
      <c r="AC41" s="2677">
        <f t="shared" si="5"/>
        <v>1</v>
      </c>
    </row>
    <row r="42" spans="1:29" s="472" customFormat="1" ht="15">
      <c r="A42" s="469"/>
      <c r="B42" s="1817"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1816">
        <f t="shared" si="3"/>
        <v>1</v>
      </c>
      <c r="AB42" s="1816">
        <f t="shared" si="4"/>
        <v>1</v>
      </c>
      <c r="AC42" s="2677">
        <f t="shared" si="5"/>
        <v>1</v>
      </c>
    </row>
    <row r="43" spans="1:29" ht="15">
      <c r="A43" s="473"/>
      <c r="B43" s="423" t="s">
        <v>2668</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324"/>
      <c r="Q43" s="1815" t="str">
        <f t="shared" si="11"/>
        <v>内部装修</v>
      </c>
      <c r="R43" s="775" t="s">
        <v>17</v>
      </c>
      <c r="S43" s="776">
        <f t="shared" si="12"/>
        <v>100</v>
      </c>
      <c r="T43" s="775" t="s">
        <v>17</v>
      </c>
      <c r="U43" s="776">
        <f t="shared" si="13"/>
        <v>100</v>
      </c>
      <c r="V43" s="775" t="s">
        <v>17</v>
      </c>
      <c r="W43" s="776">
        <f t="shared" si="14"/>
        <v>100</v>
      </c>
      <c r="X43" s="1818"/>
      <c r="Y43" s="3326"/>
      <c r="Z43" s="1819" t="str">
        <f t="shared" si="15"/>
        <v>内部装修</v>
      </c>
      <c r="AA43" s="1816">
        <f t="shared" si="3"/>
        <v>1</v>
      </c>
      <c r="AB43" s="1816">
        <f t="shared" si="4"/>
        <v>1</v>
      </c>
      <c r="AC43" s="2677">
        <f t="shared" si="5"/>
        <v>1</v>
      </c>
    </row>
    <row r="44" spans="1:29" ht="15">
      <c r="A44" s="473"/>
      <c r="B44" s="423" t="s">
        <v>2576</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324"/>
      <c r="Q44" s="1815" t="str">
        <f t="shared" si="11"/>
        <v>内部装修维护情况</v>
      </c>
      <c r="R44" s="775" t="s">
        <v>17</v>
      </c>
      <c r="S44" s="776">
        <f t="shared" si="12"/>
        <v>100</v>
      </c>
      <c r="T44" s="775" t="s">
        <v>17</v>
      </c>
      <c r="U44" s="776">
        <f t="shared" si="13"/>
        <v>100</v>
      </c>
      <c r="V44" s="775" t="s">
        <v>17</v>
      </c>
      <c r="W44" s="776">
        <f t="shared" si="14"/>
        <v>100</v>
      </c>
      <c r="X44" s="1818"/>
      <c r="Y44" s="3326"/>
      <c r="Z44" s="1819" t="str">
        <f t="shared" si="15"/>
        <v>内部装修维护情况</v>
      </c>
      <c r="AA44" s="1816">
        <f t="shared" si="3"/>
        <v>1</v>
      </c>
      <c r="AB44" s="181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1800">
        <f t="shared" si="11"/>
        <v>111</v>
      </c>
      <c r="R45" s="771" t="s">
        <v>17</v>
      </c>
      <c r="S45" s="772">
        <f t="shared" si="12"/>
        <v>100</v>
      </c>
      <c r="T45" s="771" t="s">
        <v>17</v>
      </c>
      <c r="U45" s="772">
        <f t="shared" si="13"/>
        <v>100</v>
      </c>
      <c r="V45" s="771" t="s">
        <v>17</v>
      </c>
      <c r="W45" s="772">
        <f t="shared" si="14"/>
        <v>100</v>
      </c>
      <c r="X45" s="773"/>
      <c r="Y45" s="3326"/>
      <c r="Z45" s="55">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1815">
        <f t="shared" si="11"/>
        <v>111</v>
      </c>
      <c r="R46" s="775" t="s">
        <v>17</v>
      </c>
      <c r="S46" s="776">
        <f t="shared" si="12"/>
        <v>100</v>
      </c>
      <c r="T46" s="775" t="s">
        <v>17</v>
      </c>
      <c r="U46" s="776">
        <f t="shared" si="13"/>
        <v>100</v>
      </c>
      <c r="V46" s="775" t="s">
        <v>17</v>
      </c>
      <c r="W46" s="776">
        <f t="shared" si="14"/>
        <v>100</v>
      </c>
      <c r="X46" s="1818"/>
      <c r="Y46" s="3326"/>
      <c r="Z46" s="1819">
        <f t="shared" si="15"/>
        <v>111</v>
      </c>
      <c r="AA46" s="1816">
        <f t="shared" si="3"/>
        <v>1</v>
      </c>
      <c r="AB46" s="181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1815">
        <f t="shared" si="11"/>
        <v>111</v>
      </c>
      <c r="R47" s="775" t="s">
        <v>17</v>
      </c>
      <c r="S47" s="776">
        <f t="shared" si="12"/>
        <v>100</v>
      </c>
      <c r="T47" s="775" t="s">
        <v>17</v>
      </c>
      <c r="U47" s="776">
        <f t="shared" si="13"/>
        <v>100</v>
      </c>
      <c r="V47" s="775" t="s">
        <v>17</v>
      </c>
      <c r="W47" s="776">
        <f t="shared" si="14"/>
        <v>100</v>
      </c>
      <c r="X47" s="1818"/>
      <c r="Y47" s="3327"/>
      <c r="Z47" s="1819">
        <f t="shared" si="15"/>
        <v>111</v>
      </c>
      <c r="AA47" s="1816">
        <f t="shared" si="3"/>
        <v>1</v>
      </c>
      <c r="AB47" s="1816">
        <f t="shared" si="4"/>
        <v>1</v>
      </c>
      <c r="AC47" s="2677">
        <f t="shared" si="5"/>
        <v>1</v>
      </c>
    </row>
    <row r="48" spans="1:29" ht="15">
      <c r="A48" s="480" t="s">
        <v>2577</v>
      </c>
      <c r="B48" s="481"/>
      <c r="C48" s="1411" t="s">
        <v>1</v>
      </c>
      <c r="D48" s="1412"/>
      <c r="E48" s="1413"/>
      <c r="F48" s="1414"/>
      <c r="G48" s="1415"/>
      <c r="H48" s="1416"/>
      <c r="I48" s="1413"/>
      <c r="J48" s="486"/>
      <c r="K48" s="784"/>
      <c r="L48" s="1147"/>
      <c r="M48" s="1135"/>
      <c r="N48" s="1135"/>
      <c r="O48" s="1135"/>
      <c r="P48" s="3313" t="str">
        <f>A48</f>
        <v>成交单价（元/平方米）</v>
      </c>
      <c r="Q48" s="3314"/>
      <c r="R48" s="3315">
        <f>E48</f>
        <v>0</v>
      </c>
      <c r="S48" s="3315"/>
      <c r="T48" s="3315">
        <f>G48</f>
        <v>0</v>
      </c>
      <c r="U48" s="3315"/>
      <c r="V48" s="3315">
        <f>I48</f>
        <v>0</v>
      </c>
      <c r="W48" s="3315"/>
      <c r="X48" s="447"/>
      <c r="Y48" s="782"/>
      <c r="Z48" s="447"/>
      <c r="AA48" s="447"/>
      <c r="AB48" s="447"/>
      <c r="AC48" s="631"/>
    </row>
    <row r="49" spans="1:29" ht="15.75" thickBot="1">
      <c r="A49" s="487" t="s">
        <v>2669</v>
      </c>
      <c r="B49" s="488"/>
      <c r="C49" s="1417" t="e">
        <f>R50</f>
        <v>#DIV/0!</v>
      </c>
      <c r="D49" s="1418"/>
      <c r="E49" s="1419" t="e">
        <f>R49</f>
        <v>#DIV/0!</v>
      </c>
      <c r="F49" s="1419"/>
      <c r="G49" s="1417" t="e">
        <f>T49</f>
        <v>#DIV/0!</v>
      </c>
      <c r="H49" s="1418"/>
      <c r="I49" s="1419" t="e">
        <f>V49</f>
        <v>#DIV/0!</v>
      </c>
      <c r="J49" s="490"/>
      <c r="K49" s="785"/>
      <c r="L49" s="1147"/>
      <c r="M49" s="1135"/>
      <c r="N49" s="1135"/>
      <c r="O49" s="1135"/>
      <c r="P49" s="3313" t="str">
        <f>A49</f>
        <v>比较价值（元/平方米）</v>
      </c>
      <c r="Q49" s="3314"/>
      <c r="R49" s="3315" t="e">
        <f>IF(F1="售价",ROUND(PRODUCT(R48,AA7:AA47),0),ROUND(PRODUCT(R48,AA7:AA47),1))</f>
        <v>#DIV/0!</v>
      </c>
      <c r="S49" s="3315"/>
      <c r="T49" s="3315" t="e">
        <f>IF(F1="售价",ROUND(PRODUCT(T48,AB7:AB47),0),ROUND(PRODUCT(T48,AB7:AB47),1))</f>
        <v>#DIV/0!</v>
      </c>
      <c r="U49" s="3315"/>
      <c r="V49" s="3315" t="e">
        <f>IF(F1="售价",ROUND(PRODUCT(V48,AC7:AC47),0),ROUND(PRODUCT(V48,AC7:AC47),1))</f>
        <v>#DIV/0!</v>
      </c>
      <c r="W49" s="3315"/>
      <c r="X49" s="447"/>
      <c r="Y49" s="447"/>
      <c r="Z49" s="447"/>
      <c r="AA49" s="447"/>
      <c r="AB49" s="447"/>
      <c r="AC49" s="631"/>
    </row>
    <row r="50" spans="1:29" ht="15.75" thickBot="1">
      <c r="A50" s="493" t="s">
        <v>2670</v>
      </c>
      <c r="B50" s="494"/>
      <c r="C50" s="1421" t="e">
        <f>R50</f>
        <v>#DIV/0!</v>
      </c>
      <c r="D50" s="1421"/>
      <c r="E50" s="1421"/>
      <c r="F50" s="1421"/>
      <c r="G50" s="1421"/>
      <c r="H50" s="1421"/>
      <c r="I50" s="1421"/>
      <c r="J50" s="495"/>
      <c r="K50" s="786"/>
      <c r="L50" s="1147"/>
      <c r="M50" s="1135"/>
      <c r="N50" s="1135"/>
      <c r="O50" s="1135"/>
      <c r="P50" s="3316" t="str">
        <f>A50</f>
        <v>估价对象XX用房的比较价值（楼面单价，元/平方米）</v>
      </c>
      <c r="Q50" s="3317"/>
      <c r="R50" s="3318" t="e">
        <f>IF(F1="售价",ROUND(AVERAGE(R49:V49),0),ROUND(AVERAGE(R49:V49),1))</f>
        <v>#DIV/0!</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2671</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2672</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2673</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2674</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2652</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2699</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7"/>
      <c r="Q102" s="505"/>
    </row>
    <row r="103" spans="1:17" ht="15.75" thickTop="1">
      <c r="A103" s="535"/>
      <c r="B103" s="539" t="s">
        <v>2613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2614</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7"/>
      <c r="Q107" s="505"/>
    </row>
    <row r="108" spans="1:17" ht="15" thickTop="1">
      <c r="A108" s="600"/>
      <c r="B108" s="539" t="s">
        <v>2616</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7"/>
      <c r="Q112" s="505"/>
    </row>
    <row r="113" spans="1:17" s="472" customFormat="1" ht="15" thickTop="1">
      <c r="A113" s="594"/>
      <c r="B113" s="539" t="s">
        <v>2700</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8"/>
      <c r="Q114" s="560"/>
    </row>
    <row r="115" spans="1:17" ht="15" thickTop="1">
      <c r="A115" s="600"/>
      <c r="B115" s="539" t="s">
        <v>2617</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7"/>
      <c r="Q116" s="505"/>
    </row>
    <row r="117" spans="1:17" ht="15" thickTop="1">
      <c r="A117" s="600"/>
      <c r="B117" s="539" t="s">
        <v>2618</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2701</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7"/>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2620</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42" priority="16" stopIfTrue="1" operator="containsText" text="超过">
      <formula>NOT(ISERROR(SEARCH("超过",F53)))</formula>
    </cfRule>
  </conditionalFormatting>
  <conditionalFormatting sqref="H55">
    <cfRule type="containsText" dxfId="241" priority="15" stopIfTrue="1" operator="containsText" text="超过">
      <formula>NOT(ISERROR(SEARCH("超过",H55)))</formula>
    </cfRule>
  </conditionalFormatting>
  <conditionalFormatting sqref="F55">
    <cfRule type="containsText" dxfId="240" priority="14" stopIfTrue="1" operator="containsText" text="超过">
      <formula>NOT(ISERROR(SEARCH("超过",F55)))</formula>
    </cfRule>
  </conditionalFormatting>
  <conditionalFormatting sqref="F54 H54">
    <cfRule type="containsText" dxfId="239" priority="13" stopIfTrue="1" operator="containsText" text="超过">
      <formula>NOT(ISERROR(SEARCH("超过",F54)))</formula>
    </cfRule>
  </conditionalFormatting>
  <conditionalFormatting sqref="E53">
    <cfRule type="expression" dxfId="238" priority="12" stopIfTrue="1">
      <formula>$F$53="超过30%"</formula>
    </cfRule>
  </conditionalFormatting>
  <conditionalFormatting sqref="E54">
    <cfRule type="expression" dxfId="237" priority="11" stopIfTrue="1">
      <formula>$F$54="超过20%"</formula>
    </cfRule>
  </conditionalFormatting>
  <conditionalFormatting sqref="E55">
    <cfRule type="expression" dxfId="236" priority="10" stopIfTrue="1">
      <formula>$F$55="超过30%"</formula>
    </cfRule>
  </conditionalFormatting>
  <conditionalFormatting sqref="G55">
    <cfRule type="expression" dxfId="235" priority="9" stopIfTrue="1">
      <formula>$H$55="超过30%"</formula>
    </cfRule>
  </conditionalFormatting>
  <conditionalFormatting sqref="G53">
    <cfRule type="expression" dxfId="234" priority="8" stopIfTrue="1">
      <formula>$H$53="超过30%"</formula>
    </cfRule>
  </conditionalFormatting>
  <conditionalFormatting sqref="G54">
    <cfRule type="expression" dxfId="233" priority="7" stopIfTrue="1">
      <formula>$H$54="超过20%"</formula>
    </cfRule>
  </conditionalFormatting>
  <conditionalFormatting sqref="J53">
    <cfRule type="containsText" dxfId="232" priority="6" stopIfTrue="1" operator="containsText" text="超过">
      <formula>NOT(ISERROR(SEARCH("超过",J53)))</formula>
    </cfRule>
  </conditionalFormatting>
  <conditionalFormatting sqref="J55">
    <cfRule type="containsText" dxfId="231" priority="5" stopIfTrue="1" operator="containsText" text="超过">
      <formula>NOT(ISERROR(SEARCH("超过",J55)))</formula>
    </cfRule>
  </conditionalFormatting>
  <conditionalFormatting sqref="J54">
    <cfRule type="containsText" dxfId="230" priority="4" stopIfTrue="1" operator="containsText" text="超过">
      <formula>NOT(ISERROR(SEARCH("超过",J54)))</formula>
    </cfRule>
  </conditionalFormatting>
  <conditionalFormatting sqref="I53">
    <cfRule type="expression" dxfId="229" priority="3" stopIfTrue="1">
      <formula>$J$53="超过30%"</formula>
    </cfRule>
  </conditionalFormatting>
  <conditionalFormatting sqref="I54">
    <cfRule type="expression" dxfId="228" priority="2" stopIfTrue="1">
      <formula>$J$53+$J$54="超过20%"</formula>
    </cfRule>
  </conditionalFormatting>
  <conditionalFormatting sqref="I55">
    <cfRule type="expression" dxfId="2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C104" sqref="C104:H10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3082" t="s">
        <v>3316</v>
      </c>
      <c r="D2" s="1369" t="e">
        <f ca="1">SUMIF(INDIRECT("'"&amp;F2&amp;"'"&amp;"!A:A"),"承租人权益价值",INDIRECT("'"&amp;F2&amp;"'"&amp;"!c:c"))</f>
        <v>#REF!</v>
      </c>
      <c r="E2" s="2590" t="s">
        <v>2331</v>
      </c>
      <c r="F2" s="308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1" t="s">
        <v>2536</v>
      </c>
      <c r="D4" s="3332"/>
      <c r="E4" s="3333" t="s">
        <v>2537</v>
      </c>
      <c r="F4" s="3334"/>
      <c r="G4" s="3331" t="s">
        <v>2538</v>
      </c>
      <c r="H4" s="3332"/>
      <c r="I4" s="3331" t="s">
        <v>2539</v>
      </c>
      <c r="J4" s="3332"/>
      <c r="K4" s="611" t="s">
        <v>2540</v>
      </c>
      <c r="L4" s="1134"/>
      <c r="M4" s="1135"/>
      <c r="N4" s="1135"/>
      <c r="O4" s="1135"/>
      <c r="P4" s="3335" t="s">
        <v>2541</v>
      </c>
      <c r="Q4" s="3336"/>
      <c r="R4" s="3341" t="s">
        <v>2537</v>
      </c>
      <c r="S4" s="3342"/>
      <c r="T4" s="3341" t="s">
        <v>2538</v>
      </c>
      <c r="U4" s="3342"/>
      <c r="V4" s="3347" t="s">
        <v>2539</v>
      </c>
      <c r="W4" s="3347"/>
      <c r="X4" s="2982"/>
      <c r="Y4" s="3341" t="s">
        <v>2541</v>
      </c>
      <c r="Z4" s="3342"/>
      <c r="AA4" s="3359" t="s">
        <v>2537</v>
      </c>
      <c r="AB4" s="3359" t="s">
        <v>2538</v>
      </c>
      <c r="AC4" s="3328" t="s">
        <v>2539</v>
      </c>
    </row>
    <row r="5" spans="1:29" ht="15">
      <c r="A5" s="405"/>
      <c r="B5" s="406"/>
      <c r="C5" s="3364" t="s">
        <v>3229</v>
      </c>
      <c r="D5" s="3352"/>
      <c r="E5" s="3365" t="s">
        <v>3323</v>
      </c>
      <c r="F5" s="3363"/>
      <c r="G5" s="3364" t="s">
        <v>3324</v>
      </c>
      <c r="H5" s="3352"/>
      <c r="I5" s="3364" t="s">
        <v>3325</v>
      </c>
      <c r="J5" s="3352"/>
      <c r="K5" s="611"/>
      <c r="L5" s="1134"/>
      <c r="M5" s="1135"/>
      <c r="N5" s="1135"/>
      <c r="O5" s="1135"/>
      <c r="P5" s="3337"/>
      <c r="Q5" s="3338"/>
      <c r="R5" s="3343"/>
      <c r="S5" s="3344"/>
      <c r="T5" s="3343"/>
      <c r="U5" s="3344"/>
      <c r="V5" s="3348"/>
      <c r="W5" s="3348"/>
      <c r="X5" s="2981"/>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2981"/>
      <c r="Y6" s="3345"/>
      <c r="Z6" s="3346"/>
      <c r="AA6" s="3361"/>
      <c r="AB6" s="3361"/>
      <c r="AC6" s="3330"/>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53" t="s">
        <v>2549</v>
      </c>
      <c r="Q7" s="3356"/>
      <c r="R7" s="771" t="s">
        <v>17</v>
      </c>
      <c r="S7" s="772">
        <f t="shared" ref="S7:S15" si="0">F7</f>
        <v>99</v>
      </c>
      <c r="T7" s="771" t="s">
        <v>17</v>
      </c>
      <c r="U7" s="772">
        <f t="shared" ref="U7:U15" si="1">H7</f>
        <v>99</v>
      </c>
      <c r="V7" s="771" t="s">
        <v>17</v>
      </c>
      <c r="W7" s="772">
        <f t="shared" ref="W7:W15" si="2">J7</f>
        <v>99</v>
      </c>
      <c r="X7" s="773"/>
      <c r="Y7" s="3355" t="s">
        <v>2549</v>
      </c>
      <c r="Z7" s="3354"/>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53" t="s">
        <v>2552</v>
      </c>
      <c r="Q8" s="3354"/>
      <c r="R8" s="771" t="s">
        <v>17</v>
      </c>
      <c r="S8" s="772">
        <f t="shared" si="0"/>
        <v>100</v>
      </c>
      <c r="T8" s="771" t="s">
        <v>17</v>
      </c>
      <c r="U8" s="772">
        <f t="shared" si="1"/>
        <v>100</v>
      </c>
      <c r="V8" s="771" t="s">
        <v>17</v>
      </c>
      <c r="W8" s="772">
        <f t="shared" si="2"/>
        <v>100</v>
      </c>
      <c r="X8" s="773"/>
      <c r="Y8" s="3355" t="s">
        <v>2552</v>
      </c>
      <c r="Z8" s="3354"/>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13" t="s">
        <v>2555</v>
      </c>
      <c r="Q9" s="2955" t="str">
        <f t="shared" ref="Q9:Q15" si="6">B9</f>
        <v>用途</v>
      </c>
      <c r="R9" s="771" t="s">
        <v>17</v>
      </c>
      <c r="S9" s="772">
        <f t="shared" si="0"/>
        <v>100</v>
      </c>
      <c r="T9" s="771" t="s">
        <v>17</v>
      </c>
      <c r="U9" s="772">
        <f t="shared" si="1"/>
        <v>100</v>
      </c>
      <c r="V9" s="771" t="s">
        <v>17</v>
      </c>
      <c r="W9" s="772">
        <f t="shared" si="2"/>
        <v>100</v>
      </c>
      <c r="X9" s="773"/>
      <c r="Y9" s="3148"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13"/>
      <c r="Q10" s="2955" t="str">
        <f t="shared" si="6"/>
        <v>土地使用年限（年）</v>
      </c>
      <c r="R10" s="771" t="s">
        <v>17</v>
      </c>
      <c r="S10" s="772">
        <f t="shared" si="0"/>
        <v>100</v>
      </c>
      <c r="T10" s="771" t="s">
        <v>17</v>
      </c>
      <c r="U10" s="772">
        <f t="shared" si="1"/>
        <v>100</v>
      </c>
      <c r="V10" s="771" t="s">
        <v>17</v>
      </c>
      <c r="W10" s="772">
        <f t="shared" si="2"/>
        <v>100</v>
      </c>
      <c r="X10" s="773"/>
      <c r="Y10" s="3148"/>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13"/>
      <c r="Q11" s="2955" t="str">
        <f t="shared" si="6"/>
        <v>容积率</v>
      </c>
      <c r="R11" s="771" t="s">
        <v>17</v>
      </c>
      <c r="S11" s="772">
        <f t="shared" si="0"/>
        <v>100</v>
      </c>
      <c r="T11" s="771" t="s">
        <v>17</v>
      </c>
      <c r="U11" s="772">
        <f t="shared" si="1"/>
        <v>100</v>
      </c>
      <c r="V11" s="771" t="s">
        <v>17</v>
      </c>
      <c r="W11" s="772">
        <f t="shared" si="2"/>
        <v>100</v>
      </c>
      <c r="X11" s="773"/>
      <c r="Y11" s="3148"/>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2955">
        <f t="shared" si="6"/>
        <v>0</v>
      </c>
      <c r="R12" s="771" t="s">
        <v>17</v>
      </c>
      <c r="S12" s="772">
        <f t="shared" si="0"/>
        <v>100</v>
      </c>
      <c r="T12" s="771" t="s">
        <v>17</v>
      </c>
      <c r="U12" s="772">
        <f t="shared" si="1"/>
        <v>100</v>
      </c>
      <c r="V12" s="771" t="s">
        <v>17</v>
      </c>
      <c r="W12" s="772">
        <f t="shared" si="2"/>
        <v>100</v>
      </c>
      <c r="X12" s="773"/>
      <c r="Y12" s="3148"/>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2955">
        <f t="shared" si="6"/>
        <v>0</v>
      </c>
      <c r="R13" s="771" t="s">
        <v>17</v>
      </c>
      <c r="S13" s="772">
        <f t="shared" si="0"/>
        <v>100</v>
      </c>
      <c r="T13" s="771" t="s">
        <v>17</v>
      </c>
      <c r="U13" s="772">
        <f t="shared" si="1"/>
        <v>100</v>
      </c>
      <c r="V13" s="771" t="s">
        <v>17</v>
      </c>
      <c r="W13" s="772">
        <f t="shared" si="2"/>
        <v>100</v>
      </c>
      <c r="X13" s="773"/>
      <c r="Y13" s="3148"/>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2955">
        <f t="shared" si="6"/>
        <v>0</v>
      </c>
      <c r="R14" s="771" t="s">
        <v>17</v>
      </c>
      <c r="S14" s="772">
        <f t="shared" si="0"/>
        <v>100</v>
      </c>
      <c r="T14" s="771" t="s">
        <v>17</v>
      </c>
      <c r="U14" s="772">
        <f t="shared" si="1"/>
        <v>100</v>
      </c>
      <c r="V14" s="771" t="s">
        <v>17</v>
      </c>
      <c r="W14" s="772">
        <f t="shared" si="2"/>
        <v>100</v>
      </c>
      <c r="X14" s="773"/>
      <c r="Y14" s="3148"/>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9" t="s">
        <v>2560</v>
      </c>
      <c r="Q15" s="2977" t="str">
        <f t="shared" si="6"/>
        <v>办公集聚程度</v>
      </c>
      <c r="R15" s="775" t="s">
        <v>17</v>
      </c>
      <c r="S15" s="776">
        <f t="shared" si="0"/>
        <v>100</v>
      </c>
      <c r="T15" s="775" t="s">
        <v>17</v>
      </c>
      <c r="U15" s="776">
        <f t="shared" si="1"/>
        <v>100</v>
      </c>
      <c r="V15" s="775" t="s">
        <v>17</v>
      </c>
      <c r="W15" s="776">
        <f t="shared" si="2"/>
        <v>100</v>
      </c>
      <c r="X15" s="2981"/>
      <c r="Y15" s="3321"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20"/>
      <c r="Q16" s="2977"/>
      <c r="R16" s="775"/>
      <c r="S16" s="776"/>
      <c r="T16" s="775"/>
      <c r="U16" s="776"/>
      <c r="V16" s="775"/>
      <c r="W16" s="776"/>
      <c r="X16" s="2981"/>
      <c r="Y16" s="3322"/>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20"/>
      <c r="Q17" s="2977" t="str">
        <f>B17</f>
        <v>交通便捷度</v>
      </c>
      <c r="R17" s="775" t="s">
        <v>17</v>
      </c>
      <c r="S17" s="776">
        <f>F17</f>
        <v>100</v>
      </c>
      <c r="T17" s="775" t="s">
        <v>17</v>
      </c>
      <c r="U17" s="776">
        <f>H17</f>
        <v>100</v>
      </c>
      <c r="V17" s="775" t="s">
        <v>17</v>
      </c>
      <c r="W17" s="776">
        <f>J17</f>
        <v>100</v>
      </c>
      <c r="X17" s="2981"/>
      <c r="Y17" s="3322"/>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20"/>
      <c r="Q18" s="2977"/>
      <c r="R18" s="775"/>
      <c r="S18" s="776"/>
      <c r="T18" s="775"/>
      <c r="U18" s="776"/>
      <c r="V18" s="775"/>
      <c r="W18" s="776"/>
      <c r="X18" s="2981"/>
      <c r="Y18" s="3322"/>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20"/>
      <c r="Q19" s="2977" t="str">
        <f>B19</f>
        <v>公共配套设施</v>
      </c>
      <c r="R19" s="775" t="s">
        <v>17</v>
      </c>
      <c r="S19" s="776">
        <f>F19</f>
        <v>100</v>
      </c>
      <c r="T19" s="775" t="s">
        <v>17</v>
      </c>
      <c r="U19" s="776">
        <f>H19</f>
        <v>100</v>
      </c>
      <c r="V19" s="775" t="s">
        <v>17</v>
      </c>
      <c r="W19" s="776">
        <f>J19</f>
        <v>100</v>
      </c>
      <c r="X19" s="2981"/>
      <c r="Y19" s="3322"/>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20"/>
      <c r="Q20" s="2977"/>
      <c r="R20" s="775"/>
      <c r="S20" s="776"/>
      <c r="T20" s="775"/>
      <c r="U20" s="776"/>
      <c r="V20" s="775"/>
      <c r="W20" s="776"/>
      <c r="X20" s="2981"/>
      <c r="Y20" s="3322"/>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20"/>
      <c r="Q21" s="2977" t="str">
        <f>B21</f>
        <v>基础设施水平</v>
      </c>
      <c r="R21" s="775" t="s">
        <v>17</v>
      </c>
      <c r="S21" s="776">
        <f>F21</f>
        <v>100</v>
      </c>
      <c r="T21" s="775" t="s">
        <v>17</v>
      </c>
      <c r="U21" s="776">
        <f>H21</f>
        <v>100</v>
      </c>
      <c r="V21" s="775" t="s">
        <v>17</v>
      </c>
      <c r="W21" s="776">
        <f>J21</f>
        <v>100</v>
      </c>
      <c r="X21" s="2981"/>
      <c r="Y21" s="3322"/>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20"/>
      <c r="Q22" s="2977"/>
      <c r="R22" s="775"/>
      <c r="S22" s="776"/>
      <c r="T22" s="775"/>
      <c r="U22" s="776"/>
      <c r="V22" s="775"/>
      <c r="W22" s="776"/>
      <c r="X22" s="2981"/>
      <c r="Y22" s="3322"/>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20"/>
      <c r="Q23" s="2977" t="str">
        <f>B23</f>
        <v>环境质量</v>
      </c>
      <c r="R23" s="775" t="s">
        <v>17</v>
      </c>
      <c r="S23" s="776">
        <f>F23</f>
        <v>100</v>
      </c>
      <c r="T23" s="775" t="s">
        <v>17</v>
      </c>
      <c r="U23" s="776">
        <f>H23</f>
        <v>100</v>
      </c>
      <c r="V23" s="775" t="s">
        <v>17</v>
      </c>
      <c r="W23" s="776">
        <f>J23</f>
        <v>100</v>
      </c>
      <c r="X23" s="2981"/>
      <c r="Y23" s="3322"/>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20"/>
      <c r="Q24" s="2977"/>
      <c r="R24" s="775"/>
      <c r="S24" s="776"/>
      <c r="T24" s="775"/>
      <c r="U24" s="776"/>
      <c r="V24" s="775"/>
      <c r="W24" s="776"/>
      <c r="X24" s="2981"/>
      <c r="Y24" s="3322"/>
      <c r="Z24" s="2980"/>
      <c r="AA24" s="2978">
        <v>1</v>
      </c>
      <c r="AB24" s="2978">
        <v>1</v>
      </c>
      <c r="AC24" s="2677">
        <v>1</v>
      </c>
    </row>
    <row r="25" spans="1:29" ht="27.75">
      <c r="A25" s="405"/>
      <c r="B25" s="632" t="s">
        <v>2691</v>
      </c>
      <c r="C25" s="2618" t="s">
        <v>3284</v>
      </c>
      <c r="D25" s="436">
        <v>100</v>
      </c>
      <c r="E25" s="435"/>
      <c r="F25" s="436">
        <f>SUMIF(87:87,E26,88:88)-SUMIF(87:87,C26,88:88)+100</f>
        <v>94</v>
      </c>
      <c r="G25" s="2618" t="s">
        <v>3286</v>
      </c>
      <c r="H25" s="436">
        <f>SUMIF(87:87,G26,88:88)-SUMIF(87:87,C26,88:88)+100</f>
        <v>100</v>
      </c>
      <c r="I25" s="3009" t="s">
        <v>3287</v>
      </c>
      <c r="J25" s="436">
        <f>SUMIF(87:87,I26,88:88)-SUMIF(87:87,C26,88:88)+100</f>
        <v>100</v>
      </c>
      <c r="K25" s="615">
        <v>2</v>
      </c>
      <c r="L25" s="1144"/>
      <c r="M25" s="1135"/>
      <c r="N25" s="1135"/>
      <c r="O25" s="1135"/>
      <c r="P25" s="3320"/>
      <c r="Q25" s="2977" t="str">
        <f>B25</f>
        <v>毗邻道路的类型与等级</v>
      </c>
      <c r="R25" s="775" t="s">
        <v>17</v>
      </c>
      <c r="S25" s="776">
        <f>F25</f>
        <v>94</v>
      </c>
      <c r="T25" s="775" t="s">
        <v>17</v>
      </c>
      <c r="U25" s="776">
        <f>H25</f>
        <v>100</v>
      </c>
      <c r="V25" s="775" t="s">
        <v>17</v>
      </c>
      <c r="W25" s="776">
        <f>J25</f>
        <v>100</v>
      </c>
      <c r="X25" s="2981"/>
      <c r="Y25" s="3322"/>
      <c r="Z25" s="2980" t="str">
        <f>Q25</f>
        <v>毗邻道路的类型与等级</v>
      </c>
      <c r="AA25" s="2978">
        <f t="shared" si="3"/>
        <v>1.0638297872340425</v>
      </c>
      <c r="AB25" s="2978">
        <f t="shared" si="4"/>
        <v>1</v>
      </c>
      <c r="AC25" s="2677">
        <f t="shared" si="5"/>
        <v>1</v>
      </c>
    </row>
    <row r="26" spans="1:29" ht="15">
      <c r="A26" s="405"/>
      <c r="B26" s="633"/>
      <c r="C26" s="635" t="s">
        <v>3233</v>
      </c>
      <c r="D26" s="436"/>
      <c r="E26" s="617" t="s">
        <v>3237</v>
      </c>
      <c r="F26" s="436"/>
      <c r="G26" s="635" t="s">
        <v>3233</v>
      </c>
      <c r="H26" s="436"/>
      <c r="I26" s="617" t="s">
        <v>3233</v>
      </c>
      <c r="J26" s="436"/>
      <c r="K26" s="616"/>
      <c r="L26" s="1144"/>
      <c r="M26" s="1135"/>
      <c r="N26" s="1135"/>
      <c r="O26" s="1135"/>
      <c r="P26" s="3320"/>
      <c r="Q26" s="2977"/>
      <c r="R26" s="775"/>
      <c r="S26" s="776"/>
      <c r="T26" s="775"/>
      <c r="U26" s="776"/>
      <c r="V26" s="775"/>
      <c r="W26" s="776"/>
      <c r="X26" s="2981"/>
      <c r="Y26" s="3322"/>
      <c r="Z26" s="2980"/>
      <c r="AA26" s="2978">
        <v>1</v>
      </c>
      <c r="AB26" s="2978">
        <v>1</v>
      </c>
      <c r="AC26" s="2677">
        <v>1</v>
      </c>
    </row>
    <row r="27" spans="1:29" ht="15">
      <c r="A27" s="429"/>
      <c r="B27" s="633" t="s">
        <v>2659</v>
      </c>
      <c r="C27" s="635" t="s">
        <v>3241</v>
      </c>
      <c r="D27" s="436">
        <v>100</v>
      </c>
      <c r="E27" s="617" t="s">
        <v>3241</v>
      </c>
      <c r="F27" s="436">
        <f>SUMIF(89:89,E27,90:90)-SUMIF(89:89,C27,90:90)+100</f>
        <v>100</v>
      </c>
      <c r="G27" s="635" t="s">
        <v>3241</v>
      </c>
      <c r="H27" s="436">
        <f>SUMIF(89:89,G27,90:90)-SUMIF(89:89,C27,90:90)+100</f>
        <v>100</v>
      </c>
      <c r="I27" s="617" t="s">
        <v>3241</v>
      </c>
      <c r="J27" s="436">
        <f>SUMIF(89:89,I27,90:90)-SUMIF(89:89,C27,90:90)+100</f>
        <v>100</v>
      </c>
      <c r="K27" s="613">
        <v>5</v>
      </c>
      <c r="L27" s="1144"/>
      <c r="M27" s="1135"/>
      <c r="N27" s="1135"/>
      <c r="O27" s="1135"/>
      <c r="P27" s="3320"/>
      <c r="Q27" s="2977" t="str">
        <f t="shared" ref="Q27:Q47" si="11">B27</f>
        <v>楼层</v>
      </c>
      <c r="R27" s="775" t="s">
        <v>17</v>
      </c>
      <c r="S27" s="776">
        <f>F27</f>
        <v>100</v>
      </c>
      <c r="T27" s="775" t="s">
        <v>17</v>
      </c>
      <c r="U27" s="776">
        <f>H27</f>
        <v>100</v>
      </c>
      <c r="V27" s="775" t="s">
        <v>17</v>
      </c>
      <c r="W27" s="776">
        <f>J27</f>
        <v>100</v>
      </c>
      <c r="X27" s="2981"/>
      <c r="Y27" s="3322"/>
      <c r="Z27" s="2980" t="str">
        <f>Q27</f>
        <v>楼层</v>
      </c>
      <c r="AA27" s="2978">
        <f t="shared" si="3"/>
        <v>1</v>
      </c>
      <c r="AB27" s="2978">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20"/>
      <c r="Q28" s="2955" t="str">
        <f t="shared" si="11"/>
        <v>朝向</v>
      </c>
      <c r="R28" s="771" t="s">
        <v>17</v>
      </c>
      <c r="S28" s="772">
        <f>F28</f>
        <v>100</v>
      </c>
      <c r="T28" s="771" t="s">
        <v>17</v>
      </c>
      <c r="U28" s="772">
        <f>H28</f>
        <v>100</v>
      </c>
      <c r="V28" s="771" t="s">
        <v>17</v>
      </c>
      <c r="W28" s="772">
        <f>J28</f>
        <v>100</v>
      </c>
      <c r="X28" s="773"/>
      <c r="Y28" s="3322"/>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2977">
        <f t="shared" si="11"/>
        <v>111</v>
      </c>
      <c r="R29" s="775" t="s">
        <v>17</v>
      </c>
      <c r="S29" s="776">
        <f t="shared" ref="S29:S47" si="12">F29</f>
        <v>100</v>
      </c>
      <c r="T29" s="775" t="s">
        <v>17</v>
      </c>
      <c r="U29" s="776">
        <f t="shared" ref="U29:U47" si="13">H29</f>
        <v>100</v>
      </c>
      <c r="V29" s="775" t="s">
        <v>17</v>
      </c>
      <c r="W29" s="776">
        <f t="shared" ref="W29:W47" si="14">J29</f>
        <v>100</v>
      </c>
      <c r="X29" s="2981"/>
      <c r="Y29" s="3322"/>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2977">
        <f t="shared" si="11"/>
        <v>111</v>
      </c>
      <c r="R30" s="775" t="s">
        <v>17</v>
      </c>
      <c r="S30" s="776">
        <f t="shared" si="12"/>
        <v>100</v>
      </c>
      <c r="T30" s="775" t="s">
        <v>17</v>
      </c>
      <c r="U30" s="776">
        <f t="shared" si="13"/>
        <v>100</v>
      </c>
      <c r="V30" s="775" t="s">
        <v>17</v>
      </c>
      <c r="W30" s="776">
        <f t="shared" si="14"/>
        <v>100</v>
      </c>
      <c r="X30" s="2981"/>
      <c r="Y30" s="3322"/>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2977">
        <f t="shared" si="11"/>
        <v>111</v>
      </c>
      <c r="R31" s="775" t="s">
        <v>17</v>
      </c>
      <c r="S31" s="776">
        <f t="shared" si="12"/>
        <v>100</v>
      </c>
      <c r="T31" s="775" t="s">
        <v>17</v>
      </c>
      <c r="U31" s="776">
        <f t="shared" si="13"/>
        <v>100</v>
      </c>
      <c r="V31" s="775" t="s">
        <v>17</v>
      </c>
      <c r="W31" s="776">
        <f t="shared" si="14"/>
        <v>100</v>
      </c>
      <c r="X31" s="2981"/>
      <c r="Y31" s="3322"/>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2977">
        <f t="shared" si="11"/>
        <v>111</v>
      </c>
      <c r="R32" s="775" t="s">
        <v>17</v>
      </c>
      <c r="S32" s="776">
        <f t="shared" si="12"/>
        <v>100</v>
      </c>
      <c r="T32" s="775" t="s">
        <v>17</v>
      </c>
      <c r="U32" s="776">
        <f t="shared" si="13"/>
        <v>100</v>
      </c>
      <c r="V32" s="775" t="s">
        <v>17</v>
      </c>
      <c r="W32" s="776">
        <f t="shared" si="14"/>
        <v>100</v>
      </c>
      <c r="X32" s="2981"/>
      <c r="Y32" s="3322"/>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23" t="s">
        <v>2565</v>
      </c>
      <c r="Q33" s="2977" t="str">
        <f t="shared" si="11"/>
        <v>建筑类型</v>
      </c>
      <c r="R33" s="775" t="s">
        <v>17</v>
      </c>
      <c r="S33" s="776">
        <f t="shared" si="12"/>
        <v>100</v>
      </c>
      <c r="T33" s="775" t="s">
        <v>17</v>
      </c>
      <c r="U33" s="776">
        <f t="shared" si="13"/>
        <v>100</v>
      </c>
      <c r="V33" s="775" t="s">
        <v>17</v>
      </c>
      <c r="W33" s="776">
        <f t="shared" si="14"/>
        <v>100</v>
      </c>
      <c r="X33" s="2981"/>
      <c r="Y33" s="3326"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225</v>
      </c>
      <c r="F34" s="426">
        <f>LOOKUP(E34,104:104,105:105)-LOOKUP(C34,104:104,105:105)+100</f>
        <v>97</v>
      </c>
      <c r="G34" s="3013">
        <v>1050</v>
      </c>
      <c r="H34" s="136">
        <f>LOOKUP(G34,104:104,105:105)-LOOKUP(C34,104:104,105:105)+100</f>
        <v>101</v>
      </c>
      <c r="I34" s="430">
        <v>200</v>
      </c>
      <c r="J34" s="136">
        <f>LOOKUP(I34,104:104,105:105)-LOOKUP(C34,104:104,105:105)+100</f>
        <v>97</v>
      </c>
      <c r="K34" s="614"/>
      <c r="L34" s="1142"/>
      <c r="M34" s="1145"/>
      <c r="N34" s="1145"/>
      <c r="O34" s="1145"/>
      <c r="P34" s="3324"/>
      <c r="Q34" s="777" t="str">
        <f t="shared" si="11"/>
        <v>项目建筑规模</v>
      </c>
      <c r="R34" s="778" t="s">
        <v>17</v>
      </c>
      <c r="S34" s="779">
        <f t="shared" si="12"/>
        <v>97</v>
      </c>
      <c r="T34" s="778" t="s">
        <v>17</v>
      </c>
      <c r="U34" s="779">
        <f t="shared" si="13"/>
        <v>101</v>
      </c>
      <c r="V34" s="778" t="s">
        <v>17</v>
      </c>
      <c r="W34" s="779">
        <f t="shared" si="14"/>
        <v>97</v>
      </c>
      <c r="X34" s="780"/>
      <c r="Y34" s="3326"/>
      <c r="Z34" s="781" t="str">
        <f t="shared" si="15"/>
        <v>项目建筑规模</v>
      </c>
      <c r="AA34" s="2978">
        <f t="shared" si="3"/>
        <v>1.0309278350515463</v>
      </c>
      <c r="AB34" s="2978">
        <f t="shared" si="4"/>
        <v>0.99009900990099009</v>
      </c>
      <c r="AC34" s="2677">
        <f t="shared" si="5"/>
        <v>1.0309278350515463</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24"/>
      <c r="Q35" s="2977" t="str">
        <f t="shared" si="11"/>
        <v>建筑结构</v>
      </c>
      <c r="R35" s="775" t="s">
        <v>17</v>
      </c>
      <c r="S35" s="776">
        <f t="shared" si="12"/>
        <v>100</v>
      </c>
      <c r="T35" s="775" t="s">
        <v>17</v>
      </c>
      <c r="U35" s="776">
        <f t="shared" si="13"/>
        <v>100</v>
      </c>
      <c r="V35" s="775" t="s">
        <v>17</v>
      </c>
      <c r="W35" s="776">
        <f t="shared" si="14"/>
        <v>100</v>
      </c>
      <c r="X35" s="2981"/>
      <c r="Y35" s="3326"/>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24"/>
      <c r="Q36" s="2977" t="str">
        <f t="shared" si="11"/>
        <v>公共部分装修</v>
      </c>
      <c r="R36" s="775" t="s">
        <v>17</v>
      </c>
      <c r="S36" s="776">
        <f t="shared" si="12"/>
        <v>100</v>
      </c>
      <c r="T36" s="775" t="s">
        <v>17</v>
      </c>
      <c r="U36" s="776">
        <f t="shared" si="13"/>
        <v>100</v>
      </c>
      <c r="V36" s="775" t="s">
        <v>17</v>
      </c>
      <c r="W36" s="776">
        <f t="shared" si="14"/>
        <v>100</v>
      </c>
      <c r="X36" s="2981"/>
      <c r="Y36" s="3326"/>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0.8</v>
      </c>
      <c r="F37" s="462">
        <f>LOOKUP(E37,111:111,112:112)-LOOKUP(C37,111:111,112:112)+100</f>
        <v>100</v>
      </c>
      <c r="G37" s="3014">
        <v>0.8</v>
      </c>
      <c r="H37" s="462">
        <f>LOOKUP(G37,111:111,112:112)-LOOKUP(C37,111:111,112:112)+100</f>
        <v>100</v>
      </c>
      <c r="I37" s="475">
        <v>0.82</v>
      </c>
      <c r="J37" s="436">
        <f>LOOKUP(I37,111:111,112:112)-LOOKUP(C37,111:111,112:112)+100</f>
        <v>100</v>
      </c>
      <c r="K37" s="613">
        <v>2</v>
      </c>
      <c r="L37" s="1144"/>
      <c r="M37" s="1135"/>
      <c r="N37" s="1135"/>
      <c r="O37" s="1135"/>
      <c r="P37" s="3324"/>
      <c r="Q37" s="2977" t="str">
        <f t="shared" si="11"/>
        <v>成新度</v>
      </c>
      <c r="R37" s="775" t="s">
        <v>17</v>
      </c>
      <c r="S37" s="776">
        <f t="shared" si="12"/>
        <v>100</v>
      </c>
      <c r="T37" s="775" t="s">
        <v>17</v>
      </c>
      <c r="U37" s="776">
        <f t="shared" si="13"/>
        <v>100</v>
      </c>
      <c r="V37" s="775" t="s">
        <v>17</v>
      </c>
      <c r="W37" s="776">
        <f t="shared" si="14"/>
        <v>100</v>
      </c>
      <c r="X37" s="2981"/>
      <c r="Y37" s="3326"/>
      <c r="Z37" s="2980" t="str">
        <f t="shared" si="15"/>
        <v>成新度</v>
      </c>
      <c r="AA37" s="2978">
        <f t="shared" si="3"/>
        <v>1</v>
      </c>
      <c r="AB37" s="2978">
        <f t="shared" si="4"/>
        <v>1</v>
      </c>
      <c r="AC37" s="2677">
        <f t="shared" si="5"/>
        <v>1</v>
      </c>
    </row>
    <row r="38" spans="1:29" s="117" customFormat="1" ht="15">
      <c r="A38" s="474"/>
      <c r="B38" s="2967" t="s">
        <v>2694</v>
      </c>
      <c r="C38" s="461" t="s">
        <v>3256</v>
      </c>
      <c r="D38" s="136">
        <v>100</v>
      </c>
      <c r="E38" s="461" t="s">
        <v>3258</v>
      </c>
      <c r="F38" s="462">
        <f>SUMIF(113:113,E38,114:114)-SUMIF(113:113,C38,114:114)+100</f>
        <v>94</v>
      </c>
      <c r="G38" s="461" t="s">
        <v>3258</v>
      </c>
      <c r="H38" s="436">
        <f>SUMIF(113:113,G38,114:114)-SUMIF(113:113,C38,114:114)+100</f>
        <v>94</v>
      </c>
      <c r="I38" s="461" t="s">
        <v>3258</v>
      </c>
      <c r="J38" s="436">
        <f>SUMIF(113:113,I38,114:114)-SUMIF(113:113,C38,114:114)+100</f>
        <v>94</v>
      </c>
      <c r="K38" s="613">
        <v>6</v>
      </c>
      <c r="L38" s="1136"/>
      <c r="M38" s="1137"/>
      <c r="N38" s="1137"/>
      <c r="O38" s="1137"/>
      <c r="P38" s="3324"/>
      <c r="Q38" s="2955" t="str">
        <f t="shared" si="11"/>
        <v>写字楼等级</v>
      </c>
      <c r="R38" s="771" t="s">
        <v>17</v>
      </c>
      <c r="S38" s="772">
        <f t="shared" si="12"/>
        <v>94</v>
      </c>
      <c r="T38" s="771" t="s">
        <v>17</v>
      </c>
      <c r="U38" s="772">
        <f t="shared" si="13"/>
        <v>94</v>
      </c>
      <c r="V38" s="771" t="s">
        <v>17</v>
      </c>
      <c r="W38" s="772">
        <f t="shared" si="14"/>
        <v>94</v>
      </c>
      <c r="X38" s="773"/>
      <c r="Y38" s="3326"/>
      <c r="Z38" s="2957" t="str">
        <f t="shared" si="15"/>
        <v>写字楼等级</v>
      </c>
      <c r="AA38" s="774">
        <f t="shared" si="3"/>
        <v>1.0638297872340425</v>
      </c>
      <c r="AB38" s="774">
        <f t="shared" si="4"/>
        <v>1.0638297872340425</v>
      </c>
      <c r="AC38" s="2674">
        <f t="shared" si="5"/>
        <v>1.0638297872340425</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24" t="s">
        <v>2565</v>
      </c>
      <c r="Q39" s="2977" t="str">
        <f t="shared" si="11"/>
        <v>物业管理</v>
      </c>
      <c r="R39" s="775" t="s">
        <v>17</v>
      </c>
      <c r="S39" s="776">
        <f t="shared" si="12"/>
        <v>100</v>
      </c>
      <c r="T39" s="775" t="s">
        <v>17</v>
      </c>
      <c r="U39" s="776">
        <f t="shared" si="13"/>
        <v>100</v>
      </c>
      <c r="V39" s="775" t="s">
        <v>17</v>
      </c>
      <c r="W39" s="776">
        <f t="shared" si="14"/>
        <v>100</v>
      </c>
      <c r="X39" s="2981"/>
      <c r="Y39" s="3326"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24"/>
      <c r="Q40" s="2977" t="str">
        <f t="shared" si="11"/>
        <v>市政基础设施</v>
      </c>
      <c r="R40" s="775" t="s">
        <v>17</v>
      </c>
      <c r="S40" s="776">
        <f t="shared" si="12"/>
        <v>100</v>
      </c>
      <c r="T40" s="775" t="s">
        <v>17</v>
      </c>
      <c r="U40" s="776">
        <f t="shared" si="13"/>
        <v>100</v>
      </c>
      <c r="V40" s="775" t="s">
        <v>17</v>
      </c>
      <c r="W40" s="776">
        <f t="shared" si="14"/>
        <v>100</v>
      </c>
      <c r="X40" s="2981"/>
      <c r="Y40" s="3326"/>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24"/>
      <c r="Q41" s="2977" t="str">
        <f t="shared" si="11"/>
        <v>层高</v>
      </c>
      <c r="R41" s="775" t="s">
        <v>17</v>
      </c>
      <c r="S41" s="776">
        <f t="shared" si="12"/>
        <v>100</v>
      </c>
      <c r="T41" s="775" t="s">
        <v>17</v>
      </c>
      <c r="U41" s="776">
        <f t="shared" si="13"/>
        <v>100</v>
      </c>
      <c r="V41" s="775" t="s">
        <v>17</v>
      </c>
      <c r="W41" s="776">
        <f t="shared" si="14"/>
        <v>100</v>
      </c>
      <c r="X41" s="2981"/>
      <c r="Y41" s="3326"/>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24"/>
      <c r="Q43" s="2977" t="str">
        <f t="shared" si="11"/>
        <v>内部装修</v>
      </c>
      <c r="R43" s="775" t="s">
        <v>17</v>
      </c>
      <c r="S43" s="776">
        <f t="shared" si="12"/>
        <v>100</v>
      </c>
      <c r="T43" s="775" t="s">
        <v>17</v>
      </c>
      <c r="U43" s="776">
        <f t="shared" si="13"/>
        <v>100</v>
      </c>
      <c r="V43" s="775" t="s">
        <v>17</v>
      </c>
      <c r="W43" s="776">
        <f t="shared" si="14"/>
        <v>100</v>
      </c>
      <c r="X43" s="2981"/>
      <c r="Y43" s="3326"/>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24"/>
      <c r="Q44" s="2977" t="str">
        <f t="shared" si="11"/>
        <v>内部装修维护情况</v>
      </c>
      <c r="R44" s="775" t="s">
        <v>17</v>
      </c>
      <c r="S44" s="776">
        <f t="shared" si="12"/>
        <v>100</v>
      </c>
      <c r="T44" s="775" t="s">
        <v>17</v>
      </c>
      <c r="U44" s="776">
        <f t="shared" si="13"/>
        <v>100</v>
      </c>
      <c r="V44" s="775" t="s">
        <v>17</v>
      </c>
      <c r="W44" s="776">
        <f t="shared" si="14"/>
        <v>100</v>
      </c>
      <c r="X44" s="2981"/>
      <c r="Y44" s="3326"/>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2955">
        <f t="shared" si="11"/>
        <v>0</v>
      </c>
      <c r="R45" s="771" t="s">
        <v>17</v>
      </c>
      <c r="S45" s="772">
        <f t="shared" si="12"/>
        <v>100</v>
      </c>
      <c r="T45" s="771" t="s">
        <v>17</v>
      </c>
      <c r="U45" s="772">
        <f t="shared" si="13"/>
        <v>100</v>
      </c>
      <c r="V45" s="771" t="s">
        <v>17</v>
      </c>
      <c r="W45" s="772">
        <f t="shared" si="14"/>
        <v>100</v>
      </c>
      <c r="X45" s="773"/>
      <c r="Y45" s="3326"/>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2977">
        <f t="shared" si="11"/>
        <v>0</v>
      </c>
      <c r="R46" s="775" t="s">
        <v>17</v>
      </c>
      <c r="S46" s="776">
        <f t="shared" si="12"/>
        <v>100</v>
      </c>
      <c r="T46" s="775" t="s">
        <v>17</v>
      </c>
      <c r="U46" s="776">
        <f t="shared" si="13"/>
        <v>100</v>
      </c>
      <c r="V46" s="775" t="s">
        <v>17</v>
      </c>
      <c r="W46" s="776">
        <f t="shared" si="14"/>
        <v>100</v>
      </c>
      <c r="X46" s="2981"/>
      <c r="Y46" s="3326"/>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2977">
        <f t="shared" si="11"/>
        <v>0</v>
      </c>
      <c r="R47" s="775" t="s">
        <v>17</v>
      </c>
      <c r="S47" s="776">
        <f t="shared" si="12"/>
        <v>100</v>
      </c>
      <c r="T47" s="775" t="s">
        <v>17</v>
      </c>
      <c r="U47" s="776">
        <f t="shared" si="13"/>
        <v>100</v>
      </c>
      <c r="V47" s="775" t="s">
        <v>17</v>
      </c>
      <c r="W47" s="776">
        <f t="shared" si="14"/>
        <v>100</v>
      </c>
      <c r="X47" s="2981"/>
      <c r="Y47" s="3327"/>
      <c r="Z47" s="2980">
        <f t="shared" si="15"/>
        <v>0</v>
      </c>
      <c r="AA47" s="2978">
        <f t="shared" si="3"/>
        <v>1</v>
      </c>
      <c r="AB47" s="2978">
        <f t="shared" si="4"/>
        <v>1</v>
      </c>
      <c r="AC47" s="2677">
        <f t="shared" si="5"/>
        <v>1</v>
      </c>
    </row>
    <row r="48" spans="1:29" ht="15">
      <c r="A48" s="480" t="s">
        <v>2577</v>
      </c>
      <c r="B48" s="481"/>
      <c r="C48" s="1411" t="s">
        <v>1</v>
      </c>
      <c r="D48" s="1412"/>
      <c r="E48" s="1413">
        <f>45500*0.99</f>
        <v>45045</v>
      </c>
      <c r="F48" s="1414"/>
      <c r="G48" s="1415">
        <f>49000*0.99</f>
        <v>48510</v>
      </c>
      <c r="H48" s="1416"/>
      <c r="I48" s="1413">
        <f>47000*0.99</f>
        <v>46530</v>
      </c>
      <c r="J48" s="486"/>
      <c r="K48" s="784"/>
      <c r="L48" s="1147"/>
      <c r="M48" s="1135"/>
      <c r="N48" s="1135"/>
      <c r="O48" s="1135"/>
      <c r="P48" s="3313" t="str">
        <f>A48</f>
        <v>成交单价（元/平方米）</v>
      </c>
      <c r="Q48" s="3314"/>
      <c r="R48" s="3315">
        <f>E48</f>
        <v>45045</v>
      </c>
      <c r="S48" s="3315"/>
      <c r="T48" s="3315">
        <f>G48</f>
        <v>48510</v>
      </c>
      <c r="U48" s="3315"/>
      <c r="V48" s="3315">
        <f>I48</f>
        <v>46530</v>
      </c>
      <c r="W48" s="3315"/>
      <c r="X48" s="447"/>
      <c r="Y48" s="782"/>
      <c r="Z48" s="447"/>
      <c r="AA48" s="447"/>
      <c r="AB48" s="447"/>
      <c r="AC48" s="631"/>
    </row>
    <row r="49" spans="1:29" ht="15.75" thickBot="1">
      <c r="A49" s="487" t="s">
        <v>2578</v>
      </c>
      <c r="B49" s="488"/>
      <c r="C49" s="1417">
        <f>R50</f>
        <v>52081</v>
      </c>
      <c r="D49" s="1418"/>
      <c r="E49" s="1419">
        <f>R49</f>
        <v>53086</v>
      </c>
      <c r="F49" s="1419"/>
      <c r="G49" s="1417">
        <f>T49</f>
        <v>51612</v>
      </c>
      <c r="H49" s="1418"/>
      <c r="I49" s="1419">
        <f>V49</f>
        <v>51546</v>
      </c>
      <c r="J49" s="490"/>
      <c r="K49" s="785"/>
      <c r="L49" s="1147"/>
      <c r="M49" s="1135"/>
      <c r="N49" s="1135"/>
      <c r="O49" s="1135"/>
      <c r="P49" s="3313" t="str">
        <f>A49</f>
        <v>比较价值（元/平方米）</v>
      </c>
      <c r="Q49" s="3314"/>
      <c r="R49" s="3315">
        <f>IF(F1="售价",ROUND(PRODUCT(R48,AA7:AA47),0),ROUND(PRODUCT(R48,AA7:AA47),1))</f>
        <v>53086</v>
      </c>
      <c r="S49" s="3315"/>
      <c r="T49" s="3315">
        <f>IF(F1="售价",ROUND(PRODUCT(T48,AB7:AB47),0),ROUND(PRODUCT(T48,AB7:AB47),1))</f>
        <v>51612</v>
      </c>
      <c r="U49" s="3315"/>
      <c r="V49" s="3315">
        <f>IF(F1="售价",ROUND(PRODUCT(V48,AC7:AC47),0),ROUND(PRODUCT(V48,AC7:AC47),1))</f>
        <v>51546</v>
      </c>
      <c r="W49" s="3315"/>
      <c r="X49" s="447"/>
      <c r="Y49" s="447"/>
      <c r="Z49" s="447"/>
      <c r="AA49" s="447"/>
      <c r="AB49" s="447"/>
      <c r="AC49" s="631"/>
    </row>
    <row r="50" spans="1:29" ht="15.75" thickBot="1">
      <c r="A50" s="493" t="s">
        <v>2579</v>
      </c>
      <c r="B50" s="494"/>
      <c r="C50" s="1421">
        <f>R50</f>
        <v>52081</v>
      </c>
      <c r="D50" s="1421"/>
      <c r="E50" s="1421"/>
      <c r="F50" s="1421"/>
      <c r="G50" s="1421"/>
      <c r="H50" s="1421"/>
      <c r="I50" s="1421"/>
      <c r="J50" s="495"/>
      <c r="K50" s="786"/>
      <c r="L50" s="1147"/>
      <c r="M50" s="1135"/>
      <c r="N50" s="1135"/>
      <c r="O50" s="1135"/>
      <c r="P50" s="3316" t="str">
        <f>A50</f>
        <v>估价对象XX用房的比较价值（楼面单价，元/平方米）</v>
      </c>
      <c r="Q50" s="3317"/>
      <c r="R50" s="3318">
        <f>IF(F1="售价",ROUND(AVERAGE(R49:V49),0),ROUND(AVERAGE(R49:V49),1))</f>
        <v>52081</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0.17851037851037854</v>
      </c>
      <c r="F53" s="501" t="str">
        <f>IF(OR(E53&gt;=0.3,E53&lt;=-0.3),"超过30%","")</f>
        <v/>
      </c>
      <c r="G53" s="500">
        <f>IF(G48&lt;G49,G49/G48-1,G48/G49-1)</f>
        <v>6.3945578231292544E-2</v>
      </c>
      <c r="H53" s="501" t="str">
        <f>IF(OR(G53&gt;=0.3,G53&lt;=-0.3),"超过30%","")</f>
        <v/>
      </c>
      <c r="I53" s="500">
        <f>IF(I48&lt;I49,I49/I48-1,I48/I49-1)</f>
        <v>0.10780141843971625</v>
      </c>
      <c r="J53" s="501" t="str">
        <f>IF(OR(I53&gt;=0.3,I53&lt;=-0.3),"超过30%","")</f>
        <v/>
      </c>
      <c r="K53" s="1109"/>
      <c r="L53" s="1110"/>
      <c r="M53" s="1148"/>
      <c r="N53" s="1148"/>
      <c r="O53" s="1148"/>
    </row>
    <row r="54" spans="1:29" ht="13.5" customHeight="1">
      <c r="A54" s="1148"/>
      <c r="B54" s="1148"/>
      <c r="C54" s="498" t="s">
        <v>2581</v>
      </c>
      <c r="D54" s="502"/>
      <c r="E54" s="500">
        <f>IF(E49&lt;G49,G49/E49-1,E49/G49-1)</f>
        <v>2.8559249786871188E-2</v>
      </c>
      <c r="F54" s="501" t="str">
        <f>IF(OR(E54&gt;=0.2,E54&lt;=-0.2),"超过20%","")</f>
        <v/>
      </c>
      <c r="G54" s="500">
        <f>IF(G49&lt;I49,I49/G49-1,G49/I49-1)</f>
        <v>1.280409731113874E-3</v>
      </c>
      <c r="H54" s="501" t="str">
        <f>IF(OR(G54&gt;=0.2,G54&lt;=-0.2),"超过20%","")</f>
        <v/>
      </c>
      <c r="I54" s="500">
        <f>IF(I49&lt;E49,E49/I49-1,I49/E49-1)</f>
        <v>2.9876227059325577E-2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7.6923076923076872E-2</v>
      </c>
      <c r="F55" s="501" t="str">
        <f>IF(OR(E55&gt;=0.3,E55&lt;=-0.3),"超过30%","")</f>
        <v/>
      </c>
      <c r="G55" s="500">
        <f>IF(G48&lt;I48,I48/G48-1,G48/I48-1)</f>
        <v>4.2553191489361764E-2</v>
      </c>
      <c r="H55" s="501" t="str">
        <f>IF(OR(G55&gt;=0.3,G55&lt;=-0.3),"超过30%","")</f>
        <v/>
      </c>
      <c r="I55" s="500">
        <f>IF(I48&lt;E48,E48/I48-1,I48/E48-1)</f>
        <v>3.2967032967033072E-2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15.7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c r="J104" s="550"/>
      <c r="K104" s="597"/>
      <c r="L104" s="598"/>
      <c r="M104" s="599"/>
      <c r="N104" s="1158"/>
      <c r="O104" s="1158"/>
      <c r="P104" s="2688"/>
      <c r="Q104" s="560"/>
    </row>
    <row r="105" spans="1:17" s="472" customFormat="1" ht="15.75" thickBot="1">
      <c r="A105" s="554"/>
      <c r="B105" s="544"/>
      <c r="C105" s="561">
        <v>100</v>
      </c>
      <c r="D105" s="537">
        <v>101</v>
      </c>
      <c r="E105" s="561">
        <v>102</v>
      </c>
      <c r="F105" s="537">
        <v>103</v>
      </c>
      <c r="G105" s="561">
        <v>104</v>
      </c>
      <c r="H105" s="537">
        <v>105</v>
      </c>
      <c r="I105" s="561"/>
      <c r="J105" s="537"/>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94</v>
      </c>
      <c r="E114" s="545">
        <f t="shared" ref="E114:M114" si="27">D114-$K38</f>
        <v>88</v>
      </c>
      <c r="F114" s="545">
        <f t="shared" si="27"/>
        <v>82</v>
      </c>
      <c r="G114" s="545">
        <f t="shared" si="27"/>
        <v>76</v>
      </c>
      <c r="H114" s="545">
        <f t="shared" si="27"/>
        <v>70</v>
      </c>
      <c r="I114" s="545">
        <f t="shared" si="27"/>
        <v>64</v>
      </c>
      <c r="J114" s="545">
        <f t="shared" si="27"/>
        <v>58</v>
      </c>
      <c r="K114" s="545">
        <f t="shared" si="27"/>
        <v>52</v>
      </c>
      <c r="L114" s="545">
        <f t="shared" si="27"/>
        <v>46</v>
      </c>
      <c r="M114" s="545">
        <f t="shared" si="27"/>
        <v>40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226" priority="16" stopIfTrue="1" operator="containsText" text="超过">
      <formula>NOT(ISERROR(SEARCH("超过",F53)))</formula>
    </cfRule>
  </conditionalFormatting>
  <conditionalFormatting sqref="H55">
    <cfRule type="containsText" dxfId="225" priority="15" stopIfTrue="1" operator="containsText" text="超过">
      <formula>NOT(ISERROR(SEARCH("超过",H55)))</formula>
    </cfRule>
  </conditionalFormatting>
  <conditionalFormatting sqref="F55">
    <cfRule type="containsText" dxfId="224" priority="14" stopIfTrue="1" operator="containsText" text="超过">
      <formula>NOT(ISERROR(SEARCH("超过",F55)))</formula>
    </cfRule>
  </conditionalFormatting>
  <conditionalFormatting sqref="F54 H54">
    <cfRule type="containsText" dxfId="223" priority="13" stopIfTrue="1" operator="containsText" text="超过">
      <formula>NOT(ISERROR(SEARCH("超过",F54)))</formula>
    </cfRule>
  </conditionalFormatting>
  <conditionalFormatting sqref="E53">
    <cfRule type="expression" dxfId="222" priority="12" stopIfTrue="1">
      <formula>$F$53="超过30%"</formula>
    </cfRule>
  </conditionalFormatting>
  <conditionalFormatting sqref="E54">
    <cfRule type="expression" dxfId="221" priority="11" stopIfTrue="1">
      <formula>$F$54="超过20%"</formula>
    </cfRule>
  </conditionalFormatting>
  <conditionalFormatting sqref="E55">
    <cfRule type="expression" dxfId="220" priority="10" stopIfTrue="1">
      <formula>$F$55="超过30%"</formula>
    </cfRule>
  </conditionalFormatting>
  <conditionalFormatting sqref="G55">
    <cfRule type="expression" dxfId="219" priority="9" stopIfTrue="1">
      <formula>$H$55="超过30%"</formula>
    </cfRule>
  </conditionalFormatting>
  <conditionalFormatting sqref="G53">
    <cfRule type="expression" dxfId="218" priority="8" stopIfTrue="1">
      <formula>$H$53="超过30%"</formula>
    </cfRule>
  </conditionalFormatting>
  <conditionalFormatting sqref="G54">
    <cfRule type="expression" dxfId="217" priority="7" stopIfTrue="1">
      <formula>$H$54="超过20%"</formula>
    </cfRule>
  </conditionalFormatting>
  <conditionalFormatting sqref="J53">
    <cfRule type="containsText" dxfId="216" priority="6" stopIfTrue="1" operator="containsText" text="超过">
      <formula>NOT(ISERROR(SEARCH("超过",J53)))</formula>
    </cfRule>
  </conditionalFormatting>
  <conditionalFormatting sqref="J55">
    <cfRule type="containsText" dxfId="215" priority="5" stopIfTrue="1" operator="containsText" text="超过">
      <formula>NOT(ISERROR(SEARCH("超过",J55)))</formula>
    </cfRule>
  </conditionalFormatting>
  <conditionalFormatting sqref="J54">
    <cfRule type="containsText" dxfId="214" priority="4" stopIfTrue="1" operator="containsText" text="超过">
      <formula>NOT(ISERROR(SEARCH("超过",J54)))</formula>
    </cfRule>
  </conditionalFormatting>
  <conditionalFormatting sqref="I53">
    <cfRule type="expression" dxfId="213" priority="3" stopIfTrue="1">
      <formula>$J$53="超过30%"</formula>
    </cfRule>
  </conditionalFormatting>
  <conditionalFormatting sqref="I54">
    <cfRule type="expression" dxfId="212" priority="2" stopIfTrue="1">
      <formula>$J$53+$J$54="超过20%"</formula>
    </cfRule>
  </conditionalFormatting>
  <conditionalFormatting sqref="I55">
    <cfRule type="expression" dxfId="2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7" t="s">
        <v>3006</v>
      </c>
      <c r="D1" s="3368"/>
      <c r="E1" s="3368"/>
      <c r="F1" s="3368"/>
      <c r="G1" s="3368"/>
      <c r="H1" s="3368"/>
      <c r="I1" s="3368"/>
      <c r="J1" s="3368"/>
      <c r="K1" s="3368"/>
      <c r="L1" s="3368"/>
      <c r="M1" s="3368"/>
      <c r="N1" s="3368"/>
      <c r="O1" s="3368"/>
      <c r="P1" s="3368"/>
      <c r="Q1" s="3368"/>
      <c r="R1" s="3368"/>
      <c r="S1" s="3369"/>
      <c r="T1" s="1208" t="s">
        <v>3007</v>
      </c>
    </row>
    <row r="2" spans="1:45" s="708" customFormat="1">
      <c r="A2" s="1209"/>
      <c r="B2" s="704" t="s">
        <v>3008</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3015</v>
      </c>
      <c r="B17" s="2920"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t="e">
        <f ca="1">IF(D20="——",S22,S22-F20)</f>
        <v>#REF!</v>
      </c>
      <c r="C20" s="169"/>
      <c r="D20" s="2922" t="s">
        <v>3019</v>
      </c>
      <c r="E20" s="1798"/>
      <c r="F20" s="1208" t="e">
        <f ca="1">SUMIF(INDIRECT("'"&amp;H20&amp;"'"&amp;"!A:A"),"承租人权益价值",INDIRECT("'"&amp;H20&amp;"'"&amp;"!c:c"))</f>
        <v>#REF!</v>
      </c>
      <c r="G20" s="1208" t="s">
        <v>3020</v>
      </c>
      <c r="H20" s="2923"/>
      <c r="I20" s="169"/>
      <c r="J20" s="169"/>
      <c r="K20" s="169"/>
      <c r="L20" s="169"/>
      <c r="M20" s="169"/>
      <c r="N20" s="169"/>
      <c r="O20" s="169"/>
      <c r="P20" s="169"/>
      <c r="Q20" s="169"/>
      <c r="R20" s="789"/>
      <c r="S20" s="138"/>
    </row>
    <row r="21" spans="1:45" ht="15.75">
      <c r="A21" s="716" t="s">
        <v>3021</v>
      </c>
      <c r="B21" s="339">
        <f>R22</f>
        <v>10000</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100</v>
      </c>
      <c r="C22" s="3285" t="s">
        <v>33</v>
      </c>
      <c r="D22" s="3286"/>
      <c r="E22" s="3286"/>
      <c r="F22" s="3286"/>
      <c r="G22" s="3286"/>
      <c r="H22" s="3286"/>
      <c r="I22" s="3286"/>
      <c r="J22" s="3286"/>
      <c r="K22" s="3286"/>
      <c r="L22" s="3286"/>
      <c r="M22" s="3286"/>
      <c r="N22" s="3286"/>
      <c r="O22" s="3286"/>
      <c r="P22" s="3286"/>
      <c r="Q22" s="3366"/>
      <c r="R22" s="717">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10" sqref="J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3314</v>
      </c>
      <c r="D1" s="1825" t="s">
        <v>70</v>
      </c>
      <c r="E1" s="1826" t="s">
        <v>1388</v>
      </c>
      <c r="F1" s="1287">
        <f ca="1">J53</f>
        <v>35.880000000000003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211405</v>
      </c>
      <c r="C2" s="1850" t="s">
        <v>1518</v>
      </c>
      <c r="D2" s="1850"/>
      <c r="E2" s="1851"/>
      <c r="F2" s="1852"/>
      <c r="G2" s="1853"/>
      <c r="H2" s="1845"/>
      <c r="I2" s="1845"/>
      <c r="J2" s="1845"/>
      <c r="K2" s="1846"/>
      <c r="L2" s="1845"/>
      <c r="M2" s="1845"/>
    </row>
    <row r="3" spans="1:37" ht="18" customHeight="1" thickBot="1">
      <c r="A3" s="1854" t="s">
        <v>1519</v>
      </c>
      <c r="B3" s="1855">
        <f ca="1">IF(ISERROR(B2*10000/F43),0,ROUND(B2*10000/F43,0))</f>
        <v>56372</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12129</v>
      </c>
      <c r="D5" s="1827" t="s">
        <v>1403</v>
      </c>
      <c r="E5" s="1297"/>
      <c r="F5" s="1298"/>
      <c r="G5" s="1856"/>
      <c r="H5" s="345">
        <v>1</v>
      </c>
      <c r="I5" s="346" t="s">
        <v>1402</v>
      </c>
      <c r="J5" s="1296">
        <f ca="1">J6+J10+J12</f>
        <v>11264</v>
      </c>
      <c r="K5" s="1827" t="s">
        <v>1403</v>
      </c>
      <c r="L5" s="1297"/>
      <c r="M5" s="1298"/>
    </row>
    <row r="6" spans="1:37" ht="18" customHeight="1">
      <c r="A6" s="1295" t="s">
        <v>1035</v>
      </c>
      <c r="B6" s="3372" t="s">
        <v>1404</v>
      </c>
      <c r="C6" s="1300">
        <f ca="1">ROUND(F6*F8*F7*(1-F9)/10000,0)</f>
        <v>12114</v>
      </c>
      <c r="D6" s="165" t="s">
        <v>3034</v>
      </c>
      <c r="E6" s="348" t="s">
        <v>1406</v>
      </c>
      <c r="F6" s="349">
        <f ca="1">INDIRECT("'数据-取费表'!u"&amp;$G$1)</f>
        <v>8.85</v>
      </c>
      <c r="G6" s="1856"/>
      <c r="H6" s="1295" t="s">
        <v>1035</v>
      </c>
      <c r="I6" s="3372" t="s">
        <v>1404</v>
      </c>
      <c r="J6" s="347">
        <f ca="1">ROUND(M6*M8*M7*(1-M9)/10000,0)</f>
        <v>11248</v>
      </c>
      <c r="K6" s="165" t="s">
        <v>3033</v>
      </c>
      <c r="L6" s="348" t="s">
        <v>1406</v>
      </c>
      <c r="M6" s="349">
        <f ca="1">INDIRECT("'数据-取费表'!z"&amp;$G$1)</f>
        <v>9.1300000000000008</v>
      </c>
    </row>
    <row r="7" spans="1:37" ht="18" customHeight="1">
      <c r="A7" s="1299"/>
      <c r="B7" s="3373"/>
      <c r="C7" s="1301"/>
      <c r="D7" s="353"/>
      <c r="E7" s="1302" t="s">
        <v>1407</v>
      </c>
      <c r="F7" s="349">
        <f ca="1">IF(INDIRECT("'数据-取费表'!ah"&amp;$G$1)="",INDIRECT("'数据-取费表'!k"&amp;$G$1),INDIRECT("'数据-取费表'!ah"&amp;$G$1))</f>
        <v>37501.99</v>
      </c>
      <c r="G7" s="1856"/>
      <c r="H7" s="350"/>
      <c r="I7" s="3373"/>
      <c r="J7" s="352"/>
      <c r="K7" s="353"/>
      <c r="L7" s="348" t="s">
        <v>1407</v>
      </c>
      <c r="M7" s="349">
        <f ca="1">F7</f>
        <v>37501.99</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v>
      </c>
      <c r="G9" s="1856"/>
      <c r="H9" s="350"/>
      <c r="I9" s="3374"/>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15</v>
      </c>
      <c r="D10" s="1829" t="s">
        <v>3035</v>
      </c>
      <c r="E10" s="359" t="s">
        <v>1412</v>
      </c>
      <c r="F10" s="1370" t="s">
        <v>3054</v>
      </c>
      <c r="G10" s="1856"/>
      <c r="H10" s="1295" t="s">
        <v>1039</v>
      </c>
      <c r="I10" s="1828" t="s">
        <v>1410</v>
      </c>
      <c r="J10" s="347">
        <f ca="1">ROUND(IF(M10="押一",M6*M8*M7/12*M11,IF(M10="押二",M6*M8*M7/12*2*M11,IF(M10="押三",M6*M8*M7/12*3*M11,J11*M11)))/10000,0)</f>
        <v>16</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18243</v>
      </c>
      <c r="D13" s="1335" t="s">
        <v>1417</v>
      </c>
      <c r="E13" s="1335" t="s">
        <v>1418</v>
      </c>
      <c r="F13" s="1336">
        <f ca="1">INDIRECT("'数据-取费表'!y"&amp;$G$1)</f>
        <v>0.87</v>
      </c>
      <c r="G13" s="1856"/>
      <c r="H13" s="1333">
        <v>2</v>
      </c>
      <c r="I13" s="1334" t="s">
        <v>1416</v>
      </c>
      <c r="J13" s="1294">
        <f ca="1">ROUND(J14*J15,0)</f>
        <v>17824</v>
      </c>
      <c r="K13" s="1341" t="s">
        <v>1417</v>
      </c>
      <c r="L13" s="1857"/>
      <c r="M13" s="1858"/>
    </row>
    <row r="14" spans="1:37" ht="18" customHeight="1">
      <c r="A14" s="1205" t="s">
        <v>1034</v>
      </c>
      <c r="B14" s="348" t="s">
        <v>1419</v>
      </c>
      <c r="C14" s="364">
        <f ca="1">INDIRECT("'数据-取费表'!m"&amp;$G$1)+INDIRECT("'数据-取费表'!t"&amp;$G$1)</f>
        <v>13126</v>
      </c>
      <c r="D14" s="1805" t="s">
        <v>1420</v>
      </c>
      <c r="E14" s="1799"/>
      <c r="F14" s="365"/>
      <c r="G14" s="1856"/>
      <c r="H14" s="1205" t="s">
        <v>1035</v>
      </c>
      <c r="I14" s="348" t="s">
        <v>1421</v>
      </c>
      <c r="J14" s="24">
        <f ca="1">C29</f>
        <v>20969</v>
      </c>
      <c r="K14" s="15"/>
      <c r="L14" s="983"/>
      <c r="M14" s="984"/>
    </row>
    <row r="15" spans="1:37" s="1863" customFormat="1" ht="18" customHeight="1" thickBot="1">
      <c r="A15" s="1205" t="s">
        <v>1036</v>
      </c>
      <c r="B15" s="348" t="s">
        <v>1422</v>
      </c>
      <c r="C15" s="24">
        <f ca="1">ROUND(C14*F15,0)</f>
        <v>656</v>
      </c>
      <c r="D15" s="366" t="s">
        <v>1423</v>
      </c>
      <c r="E15" s="366" t="s">
        <v>1424</v>
      </c>
      <c r="F15" s="367">
        <f>'数据-取费表'!B33</f>
        <v>0.05</v>
      </c>
      <c r="G15" s="1859"/>
      <c r="H15" s="1343" t="s">
        <v>1039</v>
      </c>
      <c r="I15" s="1344" t="s">
        <v>1418</v>
      </c>
      <c r="J15" s="1353">
        <f ca="1">INDIRECT("'数据-取费表'!ad"&amp;$G$1)</f>
        <v>0.85</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1470</v>
      </c>
      <c r="K16" s="1341" t="s">
        <v>1427</v>
      </c>
      <c r="L16" s="1342"/>
      <c r="M16" s="1298"/>
    </row>
    <row r="17" spans="1:37" s="1863" customFormat="1" ht="18" customHeight="1">
      <c r="A17" s="1205" t="s">
        <v>1391</v>
      </c>
      <c r="B17" s="348" t="s">
        <v>1428</v>
      </c>
      <c r="C17" s="24">
        <f ca="1">ROUND(F17*(F43+INDIRECT("'数据-取费表'!S"&amp;$G$1))/10000,0)</f>
        <v>750</v>
      </c>
      <c r="D17" s="348" t="s">
        <v>1429</v>
      </c>
      <c r="E17" s="348" t="s">
        <v>1430</v>
      </c>
      <c r="F17" s="26">
        <f>'数据-取费表'!B35</f>
        <v>200</v>
      </c>
      <c r="G17" s="1859"/>
      <c r="H17" s="1205" t="s">
        <v>1035</v>
      </c>
      <c r="I17" s="348" t="s">
        <v>1431</v>
      </c>
      <c r="J17" s="24">
        <f ca="1">ROUND(IF(项目基本情况!B11="自然人",J5*M17,J18+J19+J20),1)</f>
        <v>790.1</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197</v>
      </c>
      <c r="D18" s="348" t="s">
        <v>1423</v>
      </c>
      <c r="E18" s="348" t="s">
        <v>1424</v>
      </c>
      <c r="F18" s="368">
        <f>'数据-取费表'!B36</f>
        <v>1.4999999999999999E-2</v>
      </c>
      <c r="G18" s="1859"/>
      <c r="H18" s="1205" t="s">
        <v>1034</v>
      </c>
      <c r="I18" s="348" t="s">
        <v>1435</v>
      </c>
      <c r="J18" s="24">
        <f ca="1">ROUND(J5*M18/(1+'数据-取费表'!C42),2)</f>
        <v>600.75</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14729</v>
      </c>
      <c r="D19" s="140" t="s">
        <v>1438</v>
      </c>
      <c r="E19" s="1823"/>
      <c r="F19" s="26"/>
      <c r="G19" s="1856"/>
      <c r="H19" s="1205" t="s">
        <v>1036</v>
      </c>
      <c r="I19" s="348" t="s">
        <v>1439</v>
      </c>
      <c r="J19" s="24">
        <f ca="1">IF(K19="按租金收入计税",ROUND(J5*M19,2),ROUND(C29*M19*0.7,2))</f>
        <v>176.14</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295</v>
      </c>
      <c r="D20" s="370" t="s">
        <v>1442</v>
      </c>
      <c r="E20" s="348" t="s">
        <v>1424</v>
      </c>
      <c r="F20" s="368">
        <f>'数据-取费表'!B37</f>
        <v>0.02</v>
      </c>
      <c r="G20" s="1859"/>
      <c r="H20" s="1205" t="s">
        <v>1390</v>
      </c>
      <c r="I20" s="165" t="s">
        <v>1443</v>
      </c>
      <c r="J20" s="25">
        <f ca="1">ROUND(M20*M21/10000,2)</f>
        <v>13.24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5515.79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419.4</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532</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35.6</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225.3</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9794</v>
      </c>
      <c r="K25" s="1349" t="s">
        <v>1466</v>
      </c>
      <c r="L25" s="1350"/>
      <c r="M25" s="1351"/>
    </row>
    <row r="26" spans="1:37">
      <c r="A26" s="1205" t="s">
        <v>1034</v>
      </c>
      <c r="B26" s="348" t="s">
        <v>1467</v>
      </c>
      <c r="C26" s="24">
        <f ca="1">ROUND((C19+C20)*F26,0)</f>
        <v>3756</v>
      </c>
      <c r="D26" s="370" t="s">
        <v>1468</v>
      </c>
      <c r="E26" s="359" t="s">
        <v>1469</v>
      </c>
      <c r="F26" s="358">
        <f ca="1">INDIRECT("'数据-取费表'!q"&amp;$G$1)</f>
        <v>0.25</v>
      </c>
      <c r="G26" s="1856"/>
      <c r="H26" s="345" t="s">
        <v>1032</v>
      </c>
      <c r="I26" s="346" t="s">
        <v>1470</v>
      </c>
      <c r="J26" s="347">
        <f ca="1">IF(J5&lt;&gt;0,ROUND(J25*(1-((1+M28)/(1+M26))^M27)/(M26-M28),0),0)</f>
        <v>214467</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33.06</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20969</v>
      </c>
      <c r="D29" s="1346"/>
      <c r="E29" s="1344"/>
      <c r="F29" s="1347"/>
      <c r="G29" s="1859"/>
      <c r="H29" s="381" t="s">
        <v>1033</v>
      </c>
      <c r="I29" s="382" t="s">
        <v>1481</v>
      </c>
      <c r="J29" s="383">
        <f ca="1">ROUND(J26/(1+F40)^F41,0)</f>
        <v>184412</v>
      </c>
      <c r="K29" s="384" t="s">
        <v>1482</v>
      </c>
      <c r="L29" s="385"/>
      <c r="M29" s="386">
        <f ca="1">INDIRECT("'数据-取费表'!k"&amp;$G$1)</f>
        <v>37501.99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1535</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836.3</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646.88</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176.14</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13.24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5515.79</v>
      </c>
      <c r="G35" s="1856"/>
      <c r="H35" s="746"/>
      <c r="I35" s="1865"/>
      <c r="J35" s="1866"/>
      <c r="K35" s="1867"/>
      <c r="L35" s="1864"/>
      <c r="M35" s="1864"/>
    </row>
    <row r="36" spans="1:18" ht="18" customHeight="1">
      <c r="A36" s="1356" t="s">
        <v>1039</v>
      </c>
      <c r="B36" s="348" t="s">
        <v>1451</v>
      </c>
      <c r="C36" s="24">
        <f ca="1">ROUND(C29*F36,1)</f>
        <v>419.4</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36.5</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242.6</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10594</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26993</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2.82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7198</v>
      </c>
      <c r="D43" s="384" t="s">
        <v>1490</v>
      </c>
      <c r="E43" s="385" t="s">
        <v>1491</v>
      </c>
      <c r="F43" s="386">
        <f ca="1">INDIRECT("'数据-取费表'!k"&amp;$G$1)</f>
        <v>37501.99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-3564</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211405</v>
      </c>
      <c r="R47" s="1891" t="s">
        <v>1531</v>
      </c>
    </row>
    <row r="48" spans="1:18" s="1847" customFormat="1" ht="28.5" thickBot="1">
      <c r="A48" s="1364" t="s">
        <v>1135</v>
      </c>
      <c r="B48" s="346" t="s">
        <v>1402</v>
      </c>
      <c r="C48" s="1822">
        <f ca="1">C49+C53+C55</f>
        <v>10362</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10348</v>
      </c>
      <c r="D49" s="1280" t="s">
        <v>3037</v>
      </c>
      <c r="E49" s="1835" t="s">
        <v>1493</v>
      </c>
      <c r="F49" s="1285">
        <f>市场租金!A3</f>
        <v>8.4</v>
      </c>
      <c r="G49" s="1896"/>
      <c r="H49" s="794"/>
      <c r="I49" s="1892" t="s">
        <v>1536</v>
      </c>
      <c r="J49" s="1897">
        <v>2008</v>
      </c>
      <c r="K49" s="1894" t="s">
        <v>1537</v>
      </c>
      <c r="L49" s="1898"/>
      <c r="O49" s="1899" t="s">
        <v>1042</v>
      </c>
      <c r="P49" s="1890" t="s">
        <v>1538</v>
      </c>
      <c r="Q49" s="1891">
        <f ca="1">C29</f>
        <v>20969</v>
      </c>
      <c r="R49" s="1891" t="s">
        <v>1531</v>
      </c>
    </row>
    <row r="50" spans="1:18" s="1847" customFormat="1" ht="13.5" thickBot="1">
      <c r="A50" s="1199"/>
      <c r="B50" s="1202"/>
      <c r="C50" s="1372"/>
      <c r="D50" s="1176"/>
      <c r="E50" s="1281" t="s">
        <v>1407</v>
      </c>
      <c r="F50" s="1282">
        <f ca="1">F7</f>
        <v>37501.99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149456</v>
      </c>
      <c r="M51" s="1907"/>
      <c r="O51" s="1899" t="s">
        <v>1044</v>
      </c>
      <c r="P51" s="1890" t="s">
        <v>1544</v>
      </c>
      <c r="Q51" s="1902">
        <f>J52</f>
        <v>0.09</v>
      </c>
      <c r="R51" s="1891"/>
    </row>
    <row r="52" spans="1:18" s="1847" customFormat="1" ht="13.5" thickBot="1">
      <c r="A52" s="1200"/>
      <c r="B52" s="1202"/>
      <c r="C52" s="1203"/>
      <c r="D52" s="1176"/>
      <c r="E52" s="1204" t="s">
        <v>1409</v>
      </c>
      <c r="F52" s="1279">
        <f>市场租金!D4</f>
        <v>0.1</v>
      </c>
      <c r="I52" s="1908" t="s">
        <v>1545</v>
      </c>
      <c r="J52" s="1909">
        <v>0.09</v>
      </c>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14</v>
      </c>
      <c r="D53" s="1829" t="s">
        <v>3035</v>
      </c>
      <c r="E53" s="359" t="s">
        <v>1412</v>
      </c>
      <c r="F53" s="1370" t="s">
        <v>3054</v>
      </c>
      <c r="I53" s="1910" t="s">
        <v>1549</v>
      </c>
      <c r="J53" s="1911">
        <f ca="1">IF(M47="住宅",J51,IF(D1="——",MIN(J51,L48),IF(D1="在建（套用方法）",MIN(J51,L48-'数据-取费表'!B24),IF(D1="土地（套用方法）",MIN(J51,L48-'数据-取费表'!B20)))))</f>
        <v>35.880000000000003</v>
      </c>
      <c r="K53" s="3370" t="s">
        <v>1550</v>
      </c>
      <c r="L53" s="3371"/>
      <c r="O53" s="1889" t="s">
        <v>1046</v>
      </c>
      <c r="P53" s="1890" t="s">
        <v>1551</v>
      </c>
      <c r="Q53" s="1891">
        <f ca="1">Q47+Q48</f>
        <v>211405</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18243</v>
      </c>
      <c r="D56" s="1919"/>
      <c r="E56" s="1920"/>
      <c r="F56" s="1912"/>
      <c r="I56" s="1921" t="s">
        <v>1556</v>
      </c>
      <c r="J56" s="1922" t="s">
        <v>3042</v>
      </c>
      <c r="K56" s="1892" t="s">
        <v>1557</v>
      </c>
      <c r="L56" s="1895" t="str">
        <f ca="1">IF(L48&lt;J51,"——",L48-J53)</f>
        <v>——</v>
      </c>
      <c r="O56" s="1889" t="s">
        <v>1040</v>
      </c>
      <c r="P56" s="1890" t="s">
        <v>1530</v>
      </c>
      <c r="Q56" s="1891">
        <f ca="1">C40+J29</f>
        <v>211405</v>
      </c>
      <c r="R56" s="1891" t="s">
        <v>1531</v>
      </c>
    </row>
    <row r="57" spans="1:18" s="1847" customFormat="1" ht="24.75" thickBot="1">
      <c r="A57" s="1923"/>
      <c r="B57" s="1173" t="s">
        <v>1480</v>
      </c>
      <c r="C57" s="283">
        <f ca="1">C29</f>
        <v>20969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1405</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742</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552.64</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176.14</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13.24</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211405</v>
      </c>
      <c r="R62" s="1891" t="s">
        <v>1047</v>
      </c>
    </row>
    <row r="63" spans="1:18" s="1847" customFormat="1" ht="13.5" thickBot="1">
      <c r="A63" s="373"/>
      <c r="B63" s="1179"/>
      <c r="C63" s="29"/>
      <c r="D63" s="1189"/>
      <c r="E63" s="1173" t="s">
        <v>1501</v>
      </c>
      <c r="F63" s="349">
        <f t="shared" ca="1" si="0"/>
        <v>5515.79</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419.4</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36.5</v>
      </c>
      <c r="D65" s="1187" t="s">
        <v>1456</v>
      </c>
      <c r="E65" s="1173" t="s">
        <v>1457</v>
      </c>
      <c r="F65" s="377">
        <f t="shared" ca="1" si="0"/>
        <v>2E-3</v>
      </c>
      <c r="I65" s="1934" t="s">
        <v>1581</v>
      </c>
      <c r="J65" s="1935">
        <v>40</v>
      </c>
      <c r="K65" s="1935">
        <v>30</v>
      </c>
      <c r="L65" s="1935">
        <v>50</v>
      </c>
      <c r="M65" s="1937">
        <v>0.02</v>
      </c>
      <c r="O65" s="1889" t="s">
        <v>1040</v>
      </c>
      <c r="P65" s="1890" t="s">
        <v>1582</v>
      </c>
      <c r="Q65" s="1891">
        <f ca="1">C40+J29</f>
        <v>211405</v>
      </c>
      <c r="R65" s="1891" t="s">
        <v>1531</v>
      </c>
    </row>
    <row r="66" spans="1:18" s="1847" customFormat="1" ht="16.5" thickBot="1">
      <c r="A66" s="1205" t="s">
        <v>1506</v>
      </c>
      <c r="B66" s="1173" t="s">
        <v>1441</v>
      </c>
      <c r="C66" s="24">
        <f ca="1">ROUND(C48*F66,1)</f>
        <v>207.2</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8957</v>
      </c>
      <c r="D67" s="1186" t="s">
        <v>1466</v>
      </c>
      <c r="E67" s="1191"/>
      <c r="F67" s="1192"/>
      <c r="O67" s="1899" t="s">
        <v>1042</v>
      </c>
      <c r="P67" s="1890" t="s">
        <v>1564</v>
      </c>
      <c r="Q67" s="1938">
        <f ca="1">L51</f>
        <v>149456</v>
      </c>
      <c r="R67" s="1891" t="s">
        <v>1584</v>
      </c>
    </row>
    <row r="68" spans="1:18" s="1847" customFormat="1" ht="16.5" thickBot="1">
      <c r="A68" s="1170" t="s">
        <v>1032</v>
      </c>
      <c r="B68" s="1171" t="s">
        <v>1487</v>
      </c>
      <c r="C68" s="347">
        <f ca="1">ROUND(C67*(1-((1+F70)/(1+F68))^F69)/(F68-F70),0)</f>
        <v>23429</v>
      </c>
      <c r="D68" s="1188" t="s">
        <v>1471</v>
      </c>
      <c r="E68" s="1173" t="s">
        <v>1472</v>
      </c>
      <c r="F68" s="358">
        <f ca="1">F40</f>
        <v>5.5E-2</v>
      </c>
      <c r="O68" s="1899" t="s">
        <v>1043</v>
      </c>
      <c r="P68" s="1939" t="s">
        <v>1585</v>
      </c>
      <c r="Q68" s="1891">
        <f ca="1">ROUND(Q69-Q70*Q71,0)</f>
        <v>9043</v>
      </c>
      <c r="R68" s="1891" t="s">
        <v>1051</v>
      </c>
    </row>
    <row r="69" spans="1:18" s="1847" customFormat="1" ht="13.5" thickBot="1">
      <c r="A69" s="1174"/>
      <c r="B69" s="1175"/>
      <c r="C69" s="352"/>
      <c r="D69" s="1193" t="s">
        <v>1475</v>
      </c>
      <c r="E69" s="1173" t="s">
        <v>1476</v>
      </c>
      <c r="F69" s="380">
        <f ca="1">F41</f>
        <v>2.82</v>
      </c>
      <c r="O69" s="1899" t="s">
        <v>1048</v>
      </c>
      <c r="P69" s="1939" t="s">
        <v>1586</v>
      </c>
      <c r="Q69" s="1891">
        <f ca="1">C39</f>
        <v>10594</v>
      </c>
      <c r="R69" s="1891" t="s">
        <v>1531</v>
      </c>
    </row>
    <row r="70" spans="1:18" s="1847" customFormat="1" ht="13.5" thickBot="1">
      <c r="A70" s="1177"/>
      <c r="B70" s="1178"/>
      <c r="C70" s="356"/>
      <c r="D70" s="1189"/>
      <c r="E70" s="1173" t="s">
        <v>1479</v>
      </c>
      <c r="F70" s="1279">
        <f>市场租金!B4</f>
        <v>0.03</v>
      </c>
      <c r="O70" s="1899" t="s">
        <v>1049</v>
      </c>
      <c r="P70" s="1939" t="s">
        <v>1587</v>
      </c>
      <c r="Q70" s="1891">
        <f ca="1">C13</f>
        <v>18243</v>
      </c>
      <c r="R70" s="1891" t="s">
        <v>1531</v>
      </c>
    </row>
    <row r="71" spans="1:18" s="1847" customFormat="1" ht="13.5" thickBot="1">
      <c r="A71" s="1194" t="s">
        <v>1033</v>
      </c>
      <c r="B71" s="1195" t="s">
        <v>1489</v>
      </c>
      <c r="C71" s="383">
        <f ca="1">ROUND(C68*10000/F71,0)</f>
        <v>6247</v>
      </c>
      <c r="D71" s="1196" t="s">
        <v>1490</v>
      </c>
      <c r="E71" s="1197" t="s">
        <v>1491</v>
      </c>
      <c r="F71" s="386">
        <f ca="1">F43</f>
        <v>37501.99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1551</v>
      </c>
      <c r="D75" s="1847"/>
      <c r="E75" s="1847"/>
      <c r="F75" s="1847"/>
      <c r="K75" s="1873"/>
      <c r="L75" s="1847"/>
      <c r="O75" s="1889" t="s">
        <v>1046</v>
      </c>
      <c r="P75" s="1890" t="s">
        <v>1551</v>
      </c>
      <c r="Q75" s="1891">
        <f ca="1">Q65+Q66</f>
        <v>211405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0.85399999999999998</v>
      </c>
    </row>
    <row r="80" spans="1:18">
      <c r="B80" s="387" t="s">
        <v>1513</v>
      </c>
      <c r="C80" s="319">
        <f ca="1">ROUND(C75/C39,3)</f>
        <v>0.14599999999999999</v>
      </c>
    </row>
    <row r="81" spans="2:3">
      <c r="B81" s="315" t="s">
        <v>1514</v>
      </c>
      <c r="C81" s="283"/>
    </row>
    <row r="82" spans="2:3">
      <c r="B82" s="318" t="s">
        <v>1515</v>
      </c>
      <c r="C82" s="320">
        <f ca="1">1-C83</f>
        <v>0.32399999999999995</v>
      </c>
    </row>
    <row r="83" spans="2:3">
      <c r="B83" s="318" t="s">
        <v>1516</v>
      </c>
      <c r="C83" s="319">
        <f ca="1">ROUND(C13/C40,3)</f>
        <v>0.67600000000000005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8" sqref="F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3352</v>
      </c>
      <c r="D1" s="1825" t="s">
        <v>70</v>
      </c>
      <c r="E1" s="1826" t="s">
        <v>1388</v>
      </c>
      <c r="F1" s="1287">
        <f ca="1">J53</f>
        <v>35.880000000000003</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142274</v>
      </c>
      <c r="C2" s="1850" t="s">
        <v>1518</v>
      </c>
      <c r="D2" s="1850"/>
      <c r="E2" s="1851"/>
      <c r="F2" s="1852"/>
      <c r="G2" s="1853"/>
      <c r="H2" s="1845"/>
      <c r="I2" s="1845"/>
      <c r="J2" s="1845"/>
      <c r="K2" s="1846"/>
      <c r="L2" s="1845"/>
      <c r="M2" s="1845"/>
    </row>
    <row r="3" spans="1:37" ht="18" customHeight="1" thickBot="1">
      <c r="A3" s="1854" t="s">
        <v>1519</v>
      </c>
      <c r="B3" s="1855">
        <f ca="1">IF(ISERROR(B2*10000/F43),0,ROUND(B2*10000/F43,0))</f>
        <v>55135</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7131</v>
      </c>
      <c r="D5" s="1827" t="s">
        <v>1403</v>
      </c>
      <c r="E5" s="1297"/>
      <c r="F5" s="1298"/>
      <c r="G5" s="1856"/>
      <c r="H5" s="345">
        <v>1</v>
      </c>
      <c r="I5" s="346" t="s">
        <v>1402</v>
      </c>
      <c r="J5" s="1296">
        <f ca="1">J6+J10+J12</f>
        <v>0</v>
      </c>
      <c r="K5" s="1827" t="s">
        <v>1403</v>
      </c>
      <c r="L5" s="1297"/>
      <c r="M5" s="1298"/>
    </row>
    <row r="6" spans="1:37" ht="18" customHeight="1">
      <c r="A6" s="1295" t="s">
        <v>1035</v>
      </c>
      <c r="B6" s="3372" t="s">
        <v>1404</v>
      </c>
      <c r="C6" s="1300">
        <f ca="1">ROUND(F6*F8*F7*(1-F9)/10000,0)</f>
        <v>7121</v>
      </c>
      <c r="D6" s="165" t="s">
        <v>3034</v>
      </c>
      <c r="E6" s="348" t="s">
        <v>1406</v>
      </c>
      <c r="F6" s="349">
        <f ca="1">INDIRECT("'数据-取费表'!u"&amp;$G$1)</f>
        <v>8.4</v>
      </c>
      <c r="G6" s="1856"/>
      <c r="H6" s="1295" t="s">
        <v>1035</v>
      </c>
      <c r="I6" s="3372" t="s">
        <v>1404</v>
      </c>
      <c r="J6" s="347">
        <f ca="1">ROUND(M6*M8*M7*(1-M9)/10000,0)</f>
        <v>0</v>
      </c>
      <c r="K6" s="165" t="s">
        <v>3033</v>
      </c>
      <c r="L6" s="348" t="s">
        <v>1406</v>
      </c>
      <c r="M6" s="349">
        <f ca="1">INDIRECT("'数据-取费表'!z"&amp;$G$1)</f>
        <v>0</v>
      </c>
    </row>
    <row r="7" spans="1:37" ht="18" customHeight="1">
      <c r="A7" s="1299"/>
      <c r="B7" s="3373"/>
      <c r="C7" s="1301"/>
      <c r="D7" s="353"/>
      <c r="E7" s="2976" t="s">
        <v>1407</v>
      </c>
      <c r="F7" s="349">
        <f ca="1">IF(INDIRECT("'数据-取费表'!ah"&amp;$G$1)="",INDIRECT("'数据-取费表'!k"&amp;$G$1),INDIRECT("'数据-取费表'!ah"&amp;$G$1))</f>
        <v>25804.750000000022</v>
      </c>
      <c r="G7" s="1856"/>
      <c r="H7" s="350"/>
      <c r="I7" s="3373"/>
      <c r="J7" s="352"/>
      <c r="K7" s="353"/>
      <c r="L7" s="348" t="s">
        <v>1407</v>
      </c>
      <c r="M7" s="349">
        <f ca="1">F7</f>
        <v>25804.750000000022</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0.1</v>
      </c>
      <c r="G9" s="1856"/>
      <c r="H9" s="350"/>
      <c r="I9" s="337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10</v>
      </c>
      <c r="D10" s="1829" t="s">
        <v>3030</v>
      </c>
      <c r="E10" s="359" t="s">
        <v>1412</v>
      </c>
      <c r="F10" s="1370" t="s">
        <v>3054</v>
      </c>
      <c r="G10" s="1856"/>
      <c r="H10" s="1295" t="s">
        <v>1039</v>
      </c>
      <c r="I10" s="1828" t="s">
        <v>1410</v>
      </c>
      <c r="J10" s="347">
        <f ca="1">ROUND(IF(M10="押一",M6*M8*M7/12*M11,IF(M10="押二",M6*M8*M7/12*2*M11,IF(M10="押三",M6*M8*M7/12*3*M11,J11*M11)))/10000,0)</f>
        <v>0</v>
      </c>
      <c r="K10" s="1829" t="s">
        <v>3030</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12553</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9032</v>
      </c>
      <c r="D14" s="2963" t="s">
        <v>1420</v>
      </c>
      <c r="E14" s="2958"/>
      <c r="F14" s="365"/>
      <c r="G14" s="1856"/>
      <c r="H14" s="1205" t="s">
        <v>1035</v>
      </c>
      <c r="I14" s="348" t="s">
        <v>1421</v>
      </c>
      <c r="J14" s="24">
        <f ca="1">C29</f>
        <v>14429</v>
      </c>
      <c r="K14" s="2975"/>
      <c r="L14" s="983"/>
      <c r="M14" s="984"/>
    </row>
    <row r="15" spans="1:37" s="1863" customFormat="1" ht="18" customHeight="1" thickBot="1">
      <c r="A15" s="1205" t="s">
        <v>1036</v>
      </c>
      <c r="B15" s="348" t="s">
        <v>1422</v>
      </c>
      <c r="C15" s="24">
        <f ca="1">ROUND(C14*F15,0)</f>
        <v>452</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419</v>
      </c>
      <c r="K16" s="1341" t="s">
        <v>1427</v>
      </c>
      <c r="L16" s="2965"/>
      <c r="M16" s="1298"/>
    </row>
    <row r="17" spans="1:37" s="1863" customFormat="1" ht="18" customHeight="1">
      <c r="A17" s="1205" t="s">
        <v>1391</v>
      </c>
      <c r="B17" s="348" t="s">
        <v>1428</v>
      </c>
      <c r="C17" s="24">
        <f ca="1">ROUND(F17*(F43+INDIRECT("'数据-取费表'!S"&amp;$G$1))/10000,0)</f>
        <v>516</v>
      </c>
      <c r="D17" s="348" t="s">
        <v>1429</v>
      </c>
      <c r="E17" s="348" t="s">
        <v>1430</v>
      </c>
      <c r="F17" s="26">
        <f>'数据-取费表'!B35</f>
        <v>200</v>
      </c>
      <c r="G17" s="1859"/>
      <c r="H17" s="1205" t="s">
        <v>1035</v>
      </c>
      <c r="I17" s="348" t="s">
        <v>1431</v>
      </c>
      <c r="J17" s="24">
        <f ca="1">ROUND(IF(项目基本情况!B11="自然人",J5*M17,J18+J19+J20),1)</f>
        <v>130.30000000000001</v>
      </c>
      <c r="K17" s="2963" t="s">
        <v>1432</v>
      </c>
      <c r="L17" s="2961"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135</v>
      </c>
      <c r="D18" s="348" t="s">
        <v>1423</v>
      </c>
      <c r="E18" s="348" t="s">
        <v>1424</v>
      </c>
      <c r="F18" s="368">
        <f>'数据-取费表'!B36</f>
        <v>1.4999999999999999E-2</v>
      </c>
      <c r="G18" s="1859"/>
      <c r="H18" s="1205" t="s">
        <v>1034</v>
      </c>
      <c r="I18" s="348" t="s">
        <v>1435</v>
      </c>
      <c r="J18" s="24">
        <f ca="1">ROUND(J5*M18/(1+'数据-取费表'!C42),2)</f>
        <v>0</v>
      </c>
      <c r="K18" s="2961"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10135</v>
      </c>
      <c r="D19" s="140" t="s">
        <v>1438</v>
      </c>
      <c r="E19" s="2973"/>
      <c r="F19" s="26"/>
      <c r="G19" s="1856"/>
      <c r="H19" s="1205" t="s">
        <v>1036</v>
      </c>
      <c r="I19" s="348" t="s">
        <v>1439</v>
      </c>
      <c r="J19" s="24">
        <f ca="1">IF(K19="按租金收入计税",ROUND(J5*M19,2),ROUND(C29*M19*0.7,2))</f>
        <v>121.2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203</v>
      </c>
      <c r="D20" s="370" t="s">
        <v>1442</v>
      </c>
      <c r="E20" s="348" t="s">
        <v>1424</v>
      </c>
      <c r="F20" s="368">
        <f>'数据-取费表'!B37</f>
        <v>0.02</v>
      </c>
      <c r="G20" s="1859"/>
      <c r="H20" s="1205" t="s">
        <v>1390</v>
      </c>
      <c r="I20" s="165" t="s">
        <v>1443</v>
      </c>
      <c r="J20" s="25">
        <f ca="1">ROUND(M20*M21/10000,2)</f>
        <v>9.11</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3795.36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73"/>
      <c r="F22" s="26"/>
      <c r="G22" s="1856"/>
      <c r="H22" s="1205" t="s">
        <v>1039</v>
      </c>
      <c r="I22" s="348" t="s">
        <v>1451</v>
      </c>
      <c r="J22" s="24">
        <f ca="1">ROUND(J14*M22,1)</f>
        <v>288.60000000000002</v>
      </c>
      <c r="K22" s="2961"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366</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61"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73"/>
      <c r="F25" s="26"/>
      <c r="G25" s="1856"/>
      <c r="H25" s="1333" t="s">
        <v>1031</v>
      </c>
      <c r="I25" s="1348" t="s">
        <v>1465</v>
      </c>
      <c r="J25" s="356">
        <f ca="1">J5-J16</f>
        <v>-419</v>
      </c>
      <c r="K25" s="1349" t="s">
        <v>1466</v>
      </c>
      <c r="L25" s="1350"/>
      <c r="M25" s="1351"/>
    </row>
    <row r="26" spans="1:37">
      <c r="A26" s="1205" t="s">
        <v>1034</v>
      </c>
      <c r="B26" s="348" t="s">
        <v>1467</v>
      </c>
      <c r="C26" s="24">
        <f ca="1">ROUND((C19+C20)*F26,0)</f>
        <v>2585</v>
      </c>
      <c r="D26" s="370" t="s">
        <v>1468</v>
      </c>
      <c r="E26" s="359" t="s">
        <v>1469</v>
      </c>
      <c r="F26" s="358">
        <f ca="1">INDIRECT("'数据-取费表'!q"&amp;$G$1)</f>
        <v>0.25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14429</v>
      </c>
      <c r="D29" s="1346"/>
      <c r="E29" s="1344"/>
      <c r="F29" s="1347"/>
      <c r="G29" s="1859"/>
      <c r="H29" s="381" t="s">
        <v>1033</v>
      </c>
      <c r="I29" s="382" t="s">
        <v>1481</v>
      </c>
      <c r="J29" s="383">
        <f ca="1">ROUND(J26/(1+F40)^F41,0)</f>
        <v>0</v>
      </c>
      <c r="K29" s="384" t="s">
        <v>1482</v>
      </c>
      <c r="L29" s="385"/>
      <c r="M29" s="386">
        <f ca="1">INDIRECT("'数据-取费表'!k"&amp;$G$1)</f>
        <v>25804.750000000022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967</v>
      </c>
      <c r="D30" s="1341" t="s">
        <v>1427</v>
      </c>
      <c r="E30" s="2965"/>
      <c r="F30" s="1298"/>
      <c r="G30" s="1856"/>
      <c r="H30" s="746"/>
      <c r="I30" s="747"/>
      <c r="J30" s="748"/>
      <c r="K30" s="749"/>
      <c r="L30" s="750"/>
      <c r="M30" s="751"/>
    </row>
    <row r="31" spans="1:37" ht="18" customHeight="1">
      <c r="A31" s="1205" t="s">
        <v>1035</v>
      </c>
      <c r="B31" s="348" t="s">
        <v>1431</v>
      </c>
      <c r="C31" s="24">
        <f ca="1">ROUND(IF(项目基本情况!B11="自然人",C5*F31,C32+C33+C34),1)</f>
        <v>510.6</v>
      </c>
      <c r="D31" s="2963" t="s">
        <v>1432</v>
      </c>
      <c r="E31" s="2961"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380.32</v>
      </c>
      <c r="D32" s="2961"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121.2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9.11</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3795.36</v>
      </c>
      <c r="G35" s="1856"/>
      <c r="H35" s="746"/>
      <c r="I35" s="1865"/>
      <c r="J35" s="1866"/>
      <c r="K35" s="1867"/>
      <c r="L35" s="1864"/>
      <c r="M35" s="1864"/>
    </row>
    <row r="36" spans="1:18" ht="18" customHeight="1">
      <c r="A36" s="1356" t="s">
        <v>1039</v>
      </c>
      <c r="B36" s="348" t="s">
        <v>1451</v>
      </c>
      <c r="C36" s="24">
        <f ca="1">ROUND(C29*F36,1)</f>
        <v>288.60000000000002</v>
      </c>
      <c r="D36" s="2961"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25.1</v>
      </c>
      <c r="D37" s="2961" t="s">
        <v>1456</v>
      </c>
      <c r="E37" s="348" t="s">
        <v>1424</v>
      </c>
      <c r="F37" s="377">
        <f ca="1">INDIRECT("'数据-取费表'!Al"&amp;$G$1)</f>
        <v>2E-3</v>
      </c>
      <c r="G37" s="1856"/>
      <c r="H37" s="1864"/>
      <c r="I37" s="1865"/>
      <c r="J37" s="1866"/>
      <c r="K37" s="752"/>
      <c r="L37" s="1864"/>
      <c r="M37" s="1864"/>
    </row>
    <row r="38" spans="1:18" ht="18" customHeight="1" thickBot="1">
      <c r="A38" s="1343" t="s">
        <v>1393</v>
      </c>
      <c r="B38" s="1344" t="s">
        <v>1441</v>
      </c>
      <c r="C38" s="1345">
        <f ca="1">ROUND(C5*F38,1)</f>
        <v>142.6</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6164</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142274</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35.880000000000003</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55135</v>
      </c>
      <c r="D43" s="384" t="s">
        <v>1490</v>
      </c>
      <c r="E43" s="385" t="s">
        <v>1491</v>
      </c>
      <c r="F43" s="386">
        <f ca="1">INDIRECT("'数据-取费表'!k"&amp;$G$1)</f>
        <v>25804.750000000022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-149164</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142274</v>
      </c>
      <c r="R47" s="1891" t="s">
        <v>1531</v>
      </c>
    </row>
    <row r="48" spans="1:18" s="1847" customFormat="1" ht="28.5" thickBot="1">
      <c r="A48" s="1364" t="s">
        <v>1135</v>
      </c>
      <c r="B48" s="346" t="s">
        <v>1402</v>
      </c>
      <c r="C48" s="2972">
        <f ca="1">C49+C53+C55</f>
        <v>0</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v>2008</v>
      </c>
      <c r="K49" s="1894" t="s">
        <v>1537</v>
      </c>
      <c r="L49" s="1898"/>
      <c r="O49" s="1899" t="s">
        <v>1042</v>
      </c>
      <c r="P49" s="1890" t="s">
        <v>1538</v>
      </c>
      <c r="Q49" s="1891">
        <f ca="1">C29</f>
        <v>14429</v>
      </c>
      <c r="R49" s="1891" t="s">
        <v>1531</v>
      </c>
    </row>
    <row r="50" spans="1:18" s="1847" customFormat="1" ht="13.5" thickBot="1">
      <c r="A50" s="1199"/>
      <c r="B50" s="1202"/>
      <c r="C50" s="1372"/>
      <c r="D50" s="1176"/>
      <c r="E50" s="1281" t="s">
        <v>1407</v>
      </c>
      <c r="F50" s="1282">
        <f ca="1">F7</f>
        <v>25804.750000000022</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84236</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0</v>
      </c>
      <c r="D53" s="1829" t="s">
        <v>3030</v>
      </c>
      <c r="E53" s="359" t="s">
        <v>1412</v>
      </c>
      <c r="F53" s="1370"/>
      <c r="I53" s="1910" t="s">
        <v>1549</v>
      </c>
      <c r="J53" s="1911">
        <f ca="1">IF(M47="住宅",J51,IF(D1="——",MIN(J51,L48),IF(D1="在建（套用方法）",MIN(J51,L48-'数据-取费表'!B24),IF(D1="土地（套用方法）",MIN(J51,L48-'数据-取费表'!B20)))))</f>
        <v>35.880000000000003</v>
      </c>
      <c r="K53" s="3370" t="s">
        <v>1550</v>
      </c>
      <c r="L53" s="3371"/>
      <c r="O53" s="1889" t="s">
        <v>1046</v>
      </c>
      <c r="P53" s="1890" t="s">
        <v>1551</v>
      </c>
      <c r="Q53" s="1891">
        <f ca="1">Q47+Q48</f>
        <v>142274</v>
      </c>
      <c r="R53" s="1891" t="s">
        <v>1047</v>
      </c>
    </row>
    <row r="54" spans="1:18" s="1847" customFormat="1" ht="13.5" thickBot="1">
      <c r="A54" s="1410"/>
      <c r="B54" s="1830" t="s">
        <v>1389</v>
      </c>
      <c r="C54" s="1182"/>
      <c r="D54" s="1829"/>
      <c r="E54" s="2968"/>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68"/>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12553</v>
      </c>
      <c r="D56" s="1919"/>
      <c r="E56" s="1920"/>
      <c r="F56" s="1912"/>
      <c r="I56" s="1921" t="s">
        <v>1556</v>
      </c>
      <c r="J56" s="1922" t="s">
        <v>3042</v>
      </c>
      <c r="K56" s="1892" t="s">
        <v>1557</v>
      </c>
      <c r="L56" s="1895" t="str">
        <f ca="1">IF(L48&lt;J51,"——",L48-J53)</f>
        <v>——</v>
      </c>
      <c r="O56" s="1889" t="s">
        <v>1040</v>
      </c>
      <c r="P56" s="1890" t="s">
        <v>1530</v>
      </c>
      <c r="Q56" s="1891">
        <f ca="1">C40+J29</f>
        <v>142274</v>
      </c>
      <c r="R56" s="1891" t="s">
        <v>1531</v>
      </c>
    </row>
    <row r="57" spans="1:18" s="1847" customFormat="1" ht="24.75" thickBot="1">
      <c r="A57" s="1923"/>
      <c r="B57" s="1173" t="s">
        <v>1480</v>
      </c>
      <c r="C57" s="283">
        <f ca="1">C29</f>
        <v>14429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444</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130.30000000000001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121.2</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9.11</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142274</v>
      </c>
      <c r="R62" s="1891" t="s">
        <v>1047</v>
      </c>
    </row>
    <row r="63" spans="1:18" s="1847" customFormat="1" ht="13.5" thickBot="1">
      <c r="A63" s="373"/>
      <c r="B63" s="1179"/>
      <c r="C63" s="29"/>
      <c r="D63" s="1189"/>
      <c r="E63" s="1173" t="s">
        <v>1449</v>
      </c>
      <c r="F63" s="349">
        <f t="shared" ca="1" si="0"/>
        <v>3795.36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288.60000000000002</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25.1</v>
      </c>
      <c r="D65" s="1187" t="s">
        <v>1456</v>
      </c>
      <c r="E65" s="1173" t="s">
        <v>1424</v>
      </c>
      <c r="F65" s="377">
        <f t="shared" ca="1" si="0"/>
        <v>2E-3</v>
      </c>
      <c r="I65" s="1934" t="s">
        <v>1581</v>
      </c>
      <c r="J65" s="1935">
        <v>40</v>
      </c>
      <c r="K65" s="1935">
        <v>30</v>
      </c>
      <c r="L65" s="1935">
        <v>50</v>
      </c>
      <c r="M65" s="1937">
        <v>0.02</v>
      </c>
      <c r="O65" s="1889" t="s">
        <v>1040</v>
      </c>
      <c r="P65" s="1890" t="s">
        <v>1530</v>
      </c>
      <c r="Q65" s="1891">
        <f ca="1">C40+J29</f>
        <v>142274</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-444</v>
      </c>
      <c r="D67" s="1186" t="s">
        <v>1466</v>
      </c>
      <c r="E67" s="1191"/>
      <c r="F67" s="1192"/>
      <c r="O67" s="1899" t="s">
        <v>1042</v>
      </c>
      <c r="P67" s="1890" t="s">
        <v>1564</v>
      </c>
      <c r="Q67" s="1938">
        <f ca="1">L51</f>
        <v>84236</v>
      </c>
      <c r="R67" s="1891" t="s">
        <v>1584</v>
      </c>
    </row>
    <row r="68" spans="1:18" s="1847" customFormat="1" ht="16.5" thickBot="1">
      <c r="A68" s="1170" t="s">
        <v>1032</v>
      </c>
      <c r="B68" s="1171" t="s">
        <v>1487</v>
      </c>
      <c r="C68" s="347">
        <f ca="1">ROUND(C67*(1-((1+F70)/(1+F68))^F69)/(F68-F70),0)</f>
        <v>-6890</v>
      </c>
      <c r="D68" s="1188" t="s">
        <v>1471</v>
      </c>
      <c r="E68" s="1173" t="s">
        <v>1472</v>
      </c>
      <c r="F68" s="358">
        <f ca="1">F40</f>
        <v>5.5E-2</v>
      </c>
      <c r="O68" s="1899" t="s">
        <v>1043</v>
      </c>
      <c r="P68" s="1939" t="s">
        <v>1585</v>
      </c>
      <c r="Q68" s="1891">
        <f ca="1">ROUND(Q69-Q70*Q71,0)</f>
        <v>5097</v>
      </c>
      <c r="R68" s="1891" t="s">
        <v>1051</v>
      </c>
    </row>
    <row r="69" spans="1:18" s="1847" customFormat="1" ht="13.5" thickBot="1">
      <c r="A69" s="1174"/>
      <c r="B69" s="1175"/>
      <c r="C69" s="352"/>
      <c r="D69" s="1193" t="s">
        <v>1475</v>
      </c>
      <c r="E69" s="1173" t="s">
        <v>1476</v>
      </c>
      <c r="F69" s="380">
        <f ca="1">F41</f>
        <v>35.880000000000003</v>
      </c>
      <c r="O69" s="1899" t="s">
        <v>1048</v>
      </c>
      <c r="P69" s="1939" t="s">
        <v>1586</v>
      </c>
      <c r="Q69" s="1891">
        <f ca="1">C39</f>
        <v>6164</v>
      </c>
      <c r="R69" s="1891" t="s">
        <v>1531</v>
      </c>
    </row>
    <row r="70" spans="1:18" s="1847" customFormat="1" ht="13.5" thickBot="1">
      <c r="A70" s="1177"/>
      <c r="B70" s="1178"/>
      <c r="C70" s="356"/>
      <c r="D70" s="1189"/>
      <c r="E70" s="1173" t="s">
        <v>1479</v>
      </c>
      <c r="F70" s="1279"/>
      <c r="O70" s="1899" t="s">
        <v>1049</v>
      </c>
      <c r="P70" s="1939" t="s">
        <v>1587</v>
      </c>
      <c r="Q70" s="1891">
        <f ca="1">C13</f>
        <v>12553</v>
      </c>
      <c r="R70" s="1891" t="s">
        <v>1531</v>
      </c>
    </row>
    <row r="71" spans="1:18" s="1847" customFormat="1" ht="13.5" thickBot="1">
      <c r="A71" s="1194" t="s">
        <v>1033</v>
      </c>
      <c r="B71" s="1195" t="s">
        <v>1489</v>
      </c>
      <c r="C71" s="383">
        <f ca="1">ROUND(C68*10000/F71,0)</f>
        <v>-2670</v>
      </c>
      <c r="D71" s="1196" t="s">
        <v>1490</v>
      </c>
      <c r="E71" s="1197" t="s">
        <v>1491</v>
      </c>
      <c r="F71" s="386">
        <f ca="1">F43</f>
        <v>25804.750000000022</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1067</v>
      </c>
      <c r="D75" s="1847"/>
      <c r="E75" s="1847"/>
      <c r="F75" s="1847"/>
      <c r="K75" s="1873"/>
      <c r="L75" s="1847"/>
      <c r="O75" s="1889" t="s">
        <v>1046</v>
      </c>
      <c r="P75" s="1890" t="s">
        <v>1551</v>
      </c>
      <c r="Q75" s="1891">
        <f ca="1">Q65+Q66</f>
        <v>142274</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0.82699999999999996</v>
      </c>
    </row>
    <row r="80" spans="1:18">
      <c r="B80" s="387" t="s">
        <v>1513</v>
      </c>
      <c r="C80" s="319">
        <f ca="1">ROUND(C75/C39,3)</f>
        <v>0.17299999999999999</v>
      </c>
    </row>
    <row r="81" spans="2:3">
      <c r="B81" s="315" t="s">
        <v>1514</v>
      </c>
      <c r="C81" s="283"/>
    </row>
    <row r="82" spans="2:3">
      <c r="B82" s="318" t="s">
        <v>1515</v>
      </c>
      <c r="C82" s="320">
        <f ca="1">1-C83</f>
        <v>0.91200000000000003</v>
      </c>
    </row>
    <row r="83" spans="2:3">
      <c r="B83" s="318" t="s">
        <v>1516</v>
      </c>
      <c r="C83" s="319">
        <f ca="1">ROUND(C13/C40,3)</f>
        <v>8.7999999999999995E-2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372" t="s">
        <v>1404</v>
      </c>
      <c r="C6" s="1300">
        <f ca="1">ROUND(F6*F8*F7*(1-F9),0)</f>
        <v>0</v>
      </c>
      <c r="D6" s="165" t="s">
        <v>3029</v>
      </c>
      <c r="E6" s="348" t="s">
        <v>1406</v>
      </c>
      <c r="F6" s="349">
        <f ca="1">INDIRECT("'数据-取费表'!u"&amp;$G$1)</f>
        <v>0</v>
      </c>
      <c r="G6" s="1856"/>
      <c r="H6" s="1295" t="s">
        <v>1035</v>
      </c>
      <c r="I6" s="3372" t="s">
        <v>1404</v>
      </c>
      <c r="J6" s="347">
        <f ca="1">ROUND(M6*M8*M7*(1-M9),0)</f>
        <v>0</v>
      </c>
      <c r="K6" s="1839" t="s">
        <v>3032</v>
      </c>
      <c r="L6" s="348" t="s">
        <v>1406</v>
      </c>
      <c r="M6" s="349">
        <f ca="1">INDIRECT("'数据-取费表'!z"&amp;$G$1)</f>
        <v>0</v>
      </c>
    </row>
    <row r="7" spans="1:37" ht="18" customHeight="1">
      <c r="A7" s="1299"/>
      <c r="B7" s="3373"/>
      <c r="C7" s="1301"/>
      <c r="D7" s="353"/>
      <c r="E7" s="1302" t="s">
        <v>1407</v>
      </c>
      <c r="F7" s="349">
        <f ca="1">IF(INDIRECT("'数据-取费表'!ah"&amp;$G$1)="",INDIRECT("'数据-取费表'!k"&amp;$G$1),INDIRECT("'数据-取费表'!ah"&amp;$G$1))</f>
        <v>0</v>
      </c>
      <c r="G7" s="1856"/>
      <c r="H7" s="350"/>
      <c r="I7" s="3373"/>
      <c r="J7" s="352"/>
      <c r="K7" s="353"/>
      <c r="L7" s="348" t="s">
        <v>1407</v>
      </c>
      <c r="M7" s="349">
        <f ca="1">F7</f>
        <v>0</v>
      </c>
    </row>
    <row r="8" spans="1:37" ht="18" customHeight="1">
      <c r="A8" s="350"/>
      <c r="B8" s="3373"/>
      <c r="C8" s="352"/>
      <c r="D8" s="353"/>
      <c r="E8" s="348" t="s">
        <v>1408</v>
      </c>
      <c r="F8" s="349">
        <f ca="1">INDIRECT("'数据-取费表'!ai"&amp;$G$1)</f>
        <v>0</v>
      </c>
      <c r="G8" s="1856"/>
      <c r="H8" s="350"/>
      <c r="I8" s="3373"/>
      <c r="J8" s="352"/>
      <c r="K8" s="353"/>
      <c r="L8" s="348" t="s">
        <v>1408</v>
      </c>
      <c r="M8" s="349">
        <f ca="1">INDIRECT("'数据-取费表'!ai"&amp;$G$1)</f>
        <v>0</v>
      </c>
    </row>
    <row r="9" spans="1:37" ht="18" customHeight="1">
      <c r="A9" s="350"/>
      <c r="B9" s="3374"/>
      <c r="C9" s="352"/>
      <c r="D9" s="353"/>
      <c r="E9" s="348" t="s">
        <v>1409</v>
      </c>
      <c r="F9" s="358">
        <f ca="1">INDIRECT("'数据-取费表'!w"&amp;$G$1)</f>
        <v>0</v>
      </c>
      <c r="G9" s="1856"/>
      <c r="H9" s="350"/>
      <c r="I9" s="337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3030</v>
      </c>
      <c r="E10" s="359" t="s">
        <v>1412</v>
      </c>
      <c r="F10" s="1370"/>
      <c r="G10" s="1856"/>
      <c r="H10" s="1295" t="s">
        <v>1039</v>
      </c>
      <c r="I10" s="1828" t="s">
        <v>1410</v>
      </c>
      <c r="J10" s="347">
        <f ca="1">ROUND(IF(M10="押一",M6*M8*M7/12*M11,IF(M10="押二",M6*M8*M7/12*2*M11,IF(M10="押三",M6*M8*M7/12*3*M11,J11*M11))),0)</f>
        <v>0</v>
      </c>
      <c r="K10" s="1840" t="s">
        <v>3031</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370" t="s">
        <v>1550</v>
      </c>
      <c r="L53" s="3371"/>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北京达义北方置业有限公司：</v>
      </c>
    </row>
    <row r="4" spans="1:1" ht="36">
      <c r="A4" s="1953" t="str">
        <f>"受贵公司委托，我公司对"&amp;项目基本情况!S1&amp;"进行了预评估。"</f>
        <v>受贵公司委托，我公司对北京市朝阳区东三环中路20、24号楼2幢商业用房房地产房地产抵押价值进行了预评估。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1" ht="57.75">
      <c r="A8" s="1956" t="s">
        <v>1616</v>
      </c>
    </row>
    <row r="9" spans="1:1" ht="18.75">
      <c r="A9" s="1955" t="s">
        <v>1617</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2018年1月4日（评估专业人员实地查勘之日）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C49" sqref="C4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t="s">
        <v>3228</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56</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8.4</v>
      </c>
      <c r="C3" s="401" t="s">
        <v>2534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1" t="s">
        <v>2536</v>
      </c>
      <c r="D4" s="3332"/>
      <c r="E4" s="3333" t="s">
        <v>2537</v>
      </c>
      <c r="F4" s="3334"/>
      <c r="G4" s="3331" t="s">
        <v>2538</v>
      </c>
      <c r="H4" s="3332"/>
      <c r="I4" s="3331" t="s">
        <v>2539</v>
      </c>
      <c r="J4" s="3332"/>
      <c r="K4" s="611" t="s">
        <v>2540</v>
      </c>
      <c r="L4" s="1134"/>
      <c r="M4" s="1135"/>
      <c r="N4" s="1135"/>
      <c r="O4" s="1135"/>
      <c r="P4" s="3335" t="s">
        <v>2541</v>
      </c>
      <c r="Q4" s="3336"/>
      <c r="R4" s="3341" t="s">
        <v>2537</v>
      </c>
      <c r="S4" s="3342"/>
      <c r="T4" s="3341" t="s">
        <v>2538</v>
      </c>
      <c r="U4" s="3342"/>
      <c r="V4" s="3347" t="s">
        <v>2539</v>
      </c>
      <c r="W4" s="3347"/>
      <c r="X4" s="2982"/>
      <c r="Y4" s="3341" t="s">
        <v>2541</v>
      </c>
      <c r="Z4" s="3342"/>
      <c r="AA4" s="3359" t="s">
        <v>2537</v>
      </c>
      <c r="AB4" s="3359" t="s">
        <v>2538</v>
      </c>
      <c r="AC4" s="3328" t="s">
        <v>2539</v>
      </c>
    </row>
    <row r="5" spans="1:29" ht="15">
      <c r="A5" s="405"/>
      <c r="B5" s="406"/>
      <c r="C5" s="3364" t="s">
        <v>3229</v>
      </c>
      <c r="D5" s="3352"/>
      <c r="E5" s="3365" t="s">
        <v>3280</v>
      </c>
      <c r="F5" s="3363"/>
      <c r="G5" s="3364" t="s">
        <v>3230</v>
      </c>
      <c r="H5" s="3352"/>
      <c r="I5" s="3364" t="s">
        <v>3231</v>
      </c>
      <c r="J5" s="3352"/>
      <c r="K5" s="611"/>
      <c r="L5" s="1134"/>
      <c r="M5" s="1135"/>
      <c r="N5" s="1135"/>
      <c r="O5" s="1135"/>
      <c r="P5" s="3337"/>
      <c r="Q5" s="3338"/>
      <c r="R5" s="3343"/>
      <c r="S5" s="3344"/>
      <c r="T5" s="3343"/>
      <c r="U5" s="3344"/>
      <c r="V5" s="3348"/>
      <c r="W5" s="3348"/>
      <c r="X5" s="2981"/>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2981"/>
      <c r="Y6" s="3345"/>
      <c r="Z6" s="3346"/>
      <c r="AA6" s="3361"/>
      <c r="AB6" s="3361"/>
      <c r="AC6" s="3330"/>
    </row>
    <row r="7" spans="1:29" s="117" customFormat="1" ht="15.75" thickBot="1">
      <c r="A7" s="409" t="s">
        <v>2548</v>
      </c>
      <c r="B7" s="410"/>
      <c r="C7" s="411">
        <f>'数据-取费表'!B2</f>
        <v>43104</v>
      </c>
      <c r="D7" s="412">
        <v>100</v>
      </c>
      <c r="E7" s="413">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53" t="s">
        <v>2549</v>
      </c>
      <c r="Q7" s="3356"/>
      <c r="R7" s="771" t="s">
        <v>17</v>
      </c>
      <c r="S7" s="772">
        <f t="shared" ref="S7:S15" si="0">F7</f>
        <v>99</v>
      </c>
      <c r="T7" s="771" t="s">
        <v>17</v>
      </c>
      <c r="U7" s="772">
        <f t="shared" ref="U7:U15" si="1">H7</f>
        <v>99</v>
      </c>
      <c r="V7" s="771" t="s">
        <v>17</v>
      </c>
      <c r="W7" s="772">
        <f t="shared" ref="W7:W15" si="2">J7</f>
        <v>99</v>
      </c>
      <c r="X7" s="773"/>
      <c r="Y7" s="3355" t="s">
        <v>2549</v>
      </c>
      <c r="Z7" s="3354"/>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53" t="s">
        <v>2552</v>
      </c>
      <c r="Q8" s="3354"/>
      <c r="R8" s="771" t="s">
        <v>17</v>
      </c>
      <c r="S8" s="772">
        <f t="shared" si="0"/>
        <v>100</v>
      </c>
      <c r="T8" s="771" t="s">
        <v>17</v>
      </c>
      <c r="U8" s="772">
        <f t="shared" si="1"/>
        <v>100</v>
      </c>
      <c r="V8" s="771" t="s">
        <v>17</v>
      </c>
      <c r="W8" s="772">
        <f t="shared" si="2"/>
        <v>100</v>
      </c>
      <c r="X8" s="773"/>
      <c r="Y8" s="3355" t="s">
        <v>2552</v>
      </c>
      <c r="Z8" s="3354"/>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13" t="s">
        <v>2555</v>
      </c>
      <c r="Q9" s="2955" t="str">
        <f t="shared" ref="Q9:Q15" si="6">B9</f>
        <v>用途</v>
      </c>
      <c r="R9" s="771" t="s">
        <v>17</v>
      </c>
      <c r="S9" s="772">
        <f t="shared" si="0"/>
        <v>100</v>
      </c>
      <c r="T9" s="771" t="s">
        <v>17</v>
      </c>
      <c r="U9" s="772">
        <f t="shared" si="1"/>
        <v>100</v>
      </c>
      <c r="V9" s="771" t="s">
        <v>17</v>
      </c>
      <c r="W9" s="772">
        <f t="shared" si="2"/>
        <v>100</v>
      </c>
      <c r="X9" s="773"/>
      <c r="Y9" s="3148"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13"/>
      <c r="Q10" s="2955" t="str">
        <f t="shared" si="6"/>
        <v>土地使用年限（年）</v>
      </c>
      <c r="R10" s="771" t="s">
        <v>17</v>
      </c>
      <c r="S10" s="772">
        <f t="shared" si="0"/>
        <v>100</v>
      </c>
      <c r="T10" s="771" t="s">
        <v>17</v>
      </c>
      <c r="U10" s="772">
        <f t="shared" si="1"/>
        <v>100</v>
      </c>
      <c r="V10" s="771" t="s">
        <v>17</v>
      </c>
      <c r="W10" s="772">
        <f t="shared" si="2"/>
        <v>100</v>
      </c>
      <c r="X10" s="773"/>
      <c r="Y10" s="3148"/>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13"/>
      <c r="Q11" s="2955" t="str">
        <f t="shared" si="6"/>
        <v>容积率</v>
      </c>
      <c r="R11" s="771" t="s">
        <v>17</v>
      </c>
      <c r="S11" s="772">
        <f t="shared" si="0"/>
        <v>100</v>
      </c>
      <c r="T11" s="771" t="s">
        <v>17</v>
      </c>
      <c r="U11" s="772">
        <f t="shared" si="1"/>
        <v>100</v>
      </c>
      <c r="V11" s="771" t="s">
        <v>17</v>
      </c>
      <c r="W11" s="772">
        <f t="shared" si="2"/>
        <v>100</v>
      </c>
      <c r="X11" s="773"/>
      <c r="Y11" s="3148"/>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2955">
        <f t="shared" si="6"/>
        <v>0</v>
      </c>
      <c r="R12" s="771" t="s">
        <v>17</v>
      </c>
      <c r="S12" s="772">
        <f t="shared" si="0"/>
        <v>100</v>
      </c>
      <c r="T12" s="771" t="s">
        <v>17</v>
      </c>
      <c r="U12" s="772">
        <f t="shared" si="1"/>
        <v>100</v>
      </c>
      <c r="V12" s="771" t="s">
        <v>17</v>
      </c>
      <c r="W12" s="772">
        <f t="shared" si="2"/>
        <v>100</v>
      </c>
      <c r="X12" s="773"/>
      <c r="Y12" s="3148"/>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2955">
        <f t="shared" si="6"/>
        <v>0</v>
      </c>
      <c r="R13" s="771" t="s">
        <v>17</v>
      </c>
      <c r="S13" s="772">
        <f t="shared" si="0"/>
        <v>100</v>
      </c>
      <c r="T13" s="771" t="s">
        <v>17</v>
      </c>
      <c r="U13" s="772">
        <f t="shared" si="1"/>
        <v>100</v>
      </c>
      <c r="V13" s="771" t="s">
        <v>17</v>
      </c>
      <c r="W13" s="772">
        <f t="shared" si="2"/>
        <v>100</v>
      </c>
      <c r="X13" s="773"/>
      <c r="Y13" s="3148"/>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2955">
        <f t="shared" si="6"/>
        <v>0</v>
      </c>
      <c r="R14" s="771" t="s">
        <v>17</v>
      </c>
      <c r="S14" s="772">
        <f t="shared" si="0"/>
        <v>100</v>
      </c>
      <c r="T14" s="771" t="s">
        <v>17</v>
      </c>
      <c r="U14" s="772">
        <f t="shared" si="1"/>
        <v>100</v>
      </c>
      <c r="V14" s="771" t="s">
        <v>17</v>
      </c>
      <c r="W14" s="772">
        <f t="shared" si="2"/>
        <v>100</v>
      </c>
      <c r="X14" s="773"/>
      <c r="Y14" s="3148"/>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9" t="s">
        <v>2560</v>
      </c>
      <c r="Q15" s="2977" t="str">
        <f t="shared" si="6"/>
        <v>办公集聚程度</v>
      </c>
      <c r="R15" s="775" t="s">
        <v>17</v>
      </c>
      <c r="S15" s="776">
        <f t="shared" si="0"/>
        <v>100</v>
      </c>
      <c r="T15" s="775" t="s">
        <v>17</v>
      </c>
      <c r="U15" s="776">
        <f t="shared" si="1"/>
        <v>100</v>
      </c>
      <c r="V15" s="775" t="s">
        <v>17</v>
      </c>
      <c r="W15" s="776">
        <f t="shared" si="2"/>
        <v>100</v>
      </c>
      <c r="X15" s="2981"/>
      <c r="Y15" s="3321"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20"/>
      <c r="Q16" s="2977"/>
      <c r="R16" s="775"/>
      <c r="S16" s="776"/>
      <c r="T16" s="775"/>
      <c r="U16" s="776"/>
      <c r="V16" s="775"/>
      <c r="W16" s="776"/>
      <c r="X16" s="2981"/>
      <c r="Y16" s="3322"/>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20"/>
      <c r="Q17" s="2977" t="str">
        <f>B17</f>
        <v>交通便捷度</v>
      </c>
      <c r="R17" s="775" t="s">
        <v>17</v>
      </c>
      <c r="S17" s="776">
        <f>F17</f>
        <v>100</v>
      </c>
      <c r="T17" s="775" t="s">
        <v>17</v>
      </c>
      <c r="U17" s="776">
        <f>H17</f>
        <v>100</v>
      </c>
      <c r="V17" s="775" t="s">
        <v>17</v>
      </c>
      <c r="W17" s="776">
        <f>J17</f>
        <v>100</v>
      </c>
      <c r="X17" s="2981"/>
      <c r="Y17" s="3322"/>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20"/>
      <c r="Q18" s="2977"/>
      <c r="R18" s="775"/>
      <c r="S18" s="776"/>
      <c r="T18" s="775"/>
      <c r="U18" s="776"/>
      <c r="V18" s="775"/>
      <c r="W18" s="776"/>
      <c r="X18" s="2981"/>
      <c r="Y18" s="3322"/>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20"/>
      <c r="Q19" s="2977" t="str">
        <f>B19</f>
        <v>公共配套设施</v>
      </c>
      <c r="R19" s="775" t="s">
        <v>17</v>
      </c>
      <c r="S19" s="776">
        <f>F19</f>
        <v>100</v>
      </c>
      <c r="T19" s="775" t="s">
        <v>17</v>
      </c>
      <c r="U19" s="776">
        <f>H19</f>
        <v>100</v>
      </c>
      <c r="V19" s="775" t="s">
        <v>17</v>
      </c>
      <c r="W19" s="776">
        <f>J19</f>
        <v>100</v>
      </c>
      <c r="X19" s="2981"/>
      <c r="Y19" s="3322"/>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20"/>
      <c r="Q20" s="2977"/>
      <c r="R20" s="775"/>
      <c r="S20" s="776"/>
      <c r="T20" s="775"/>
      <c r="U20" s="776"/>
      <c r="V20" s="775"/>
      <c r="W20" s="776"/>
      <c r="X20" s="2981"/>
      <c r="Y20" s="3322"/>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20"/>
      <c r="Q21" s="2977" t="str">
        <f>B21</f>
        <v>基础设施水平</v>
      </c>
      <c r="R21" s="775" t="s">
        <v>17</v>
      </c>
      <c r="S21" s="776">
        <f>F21</f>
        <v>100</v>
      </c>
      <c r="T21" s="775" t="s">
        <v>17</v>
      </c>
      <c r="U21" s="776">
        <f>H21</f>
        <v>100</v>
      </c>
      <c r="V21" s="775" t="s">
        <v>17</v>
      </c>
      <c r="W21" s="776">
        <f>J21</f>
        <v>100</v>
      </c>
      <c r="X21" s="2981"/>
      <c r="Y21" s="3322"/>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20"/>
      <c r="Q22" s="2977"/>
      <c r="R22" s="775"/>
      <c r="S22" s="776"/>
      <c r="T22" s="775"/>
      <c r="U22" s="776"/>
      <c r="V22" s="775"/>
      <c r="W22" s="776"/>
      <c r="X22" s="2981"/>
      <c r="Y22" s="3322"/>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20"/>
      <c r="Q23" s="2977" t="str">
        <f>B23</f>
        <v>环境质量</v>
      </c>
      <c r="R23" s="775" t="s">
        <v>17</v>
      </c>
      <c r="S23" s="776">
        <f>F23</f>
        <v>100</v>
      </c>
      <c r="T23" s="775" t="s">
        <v>17</v>
      </c>
      <c r="U23" s="776">
        <f>H23</f>
        <v>100</v>
      </c>
      <c r="V23" s="775" t="s">
        <v>17</v>
      </c>
      <c r="W23" s="776">
        <f>J23</f>
        <v>100</v>
      </c>
      <c r="X23" s="2981"/>
      <c r="Y23" s="3322"/>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20"/>
      <c r="Q24" s="2977"/>
      <c r="R24" s="775"/>
      <c r="S24" s="776"/>
      <c r="T24" s="775"/>
      <c r="U24" s="776"/>
      <c r="V24" s="775"/>
      <c r="W24" s="776"/>
      <c r="X24" s="2981"/>
      <c r="Y24" s="3322"/>
      <c r="Z24" s="2980"/>
      <c r="AA24" s="2978">
        <v>1</v>
      </c>
      <c r="AB24" s="2978">
        <v>1</v>
      </c>
      <c r="AC24" s="2677">
        <v>1</v>
      </c>
    </row>
    <row r="25" spans="1:29" ht="27.75">
      <c r="A25" s="405"/>
      <c r="B25" s="632" t="s">
        <v>2691</v>
      </c>
      <c r="C25" s="2618" t="s">
        <v>3284</v>
      </c>
      <c r="D25" s="436">
        <v>100</v>
      </c>
      <c r="E25" s="435" t="s">
        <v>3285</v>
      </c>
      <c r="F25" s="436">
        <f>SUMIF(87:87,E26,88:88)-SUMIF(87:87,C26,88:88)+100</f>
        <v>100</v>
      </c>
      <c r="G25" s="2618" t="s">
        <v>3286</v>
      </c>
      <c r="H25" s="436">
        <f>SUMIF(87:87,G26,88:88)-SUMIF(87:87,C26,88:88)+100</f>
        <v>100</v>
      </c>
      <c r="I25" s="3009" t="s">
        <v>3287</v>
      </c>
      <c r="J25" s="436">
        <f>SUMIF(87:87,I26,88:88)-SUMIF(87:87,C26,88:88)+100</f>
        <v>94</v>
      </c>
      <c r="K25" s="615">
        <v>2</v>
      </c>
      <c r="L25" s="1144"/>
      <c r="M25" s="1135"/>
      <c r="N25" s="1135"/>
      <c r="O25" s="1135"/>
      <c r="P25" s="3320"/>
      <c r="Q25" s="2977" t="str">
        <f>B25</f>
        <v>毗邻道路的类型与等级</v>
      </c>
      <c r="R25" s="775" t="s">
        <v>17</v>
      </c>
      <c r="S25" s="776">
        <f>F25</f>
        <v>100</v>
      </c>
      <c r="T25" s="775" t="s">
        <v>17</v>
      </c>
      <c r="U25" s="776">
        <f>H25</f>
        <v>100</v>
      </c>
      <c r="V25" s="775" t="s">
        <v>17</v>
      </c>
      <c r="W25" s="776">
        <f>J25</f>
        <v>94</v>
      </c>
      <c r="X25" s="2981"/>
      <c r="Y25" s="3322"/>
      <c r="Z25" s="2980" t="str">
        <f>Q25</f>
        <v>毗邻道路的类型与等级</v>
      </c>
      <c r="AA25" s="2978">
        <f t="shared" si="3"/>
        <v>1</v>
      </c>
      <c r="AB25" s="2978">
        <f t="shared" si="4"/>
        <v>1</v>
      </c>
      <c r="AC25" s="2677">
        <f t="shared" si="5"/>
        <v>1.0638297872340425</v>
      </c>
    </row>
    <row r="26" spans="1:29" ht="15">
      <c r="A26" s="405"/>
      <c r="B26" s="633"/>
      <c r="C26" s="635" t="s">
        <v>3233</v>
      </c>
      <c r="D26" s="436"/>
      <c r="E26" s="617" t="s">
        <v>3233</v>
      </c>
      <c r="F26" s="436"/>
      <c r="G26" s="635" t="s">
        <v>3233</v>
      </c>
      <c r="H26" s="436"/>
      <c r="I26" s="617" t="s">
        <v>3237</v>
      </c>
      <c r="J26" s="436"/>
      <c r="K26" s="616"/>
      <c r="L26" s="1144"/>
      <c r="M26" s="1135"/>
      <c r="N26" s="1135"/>
      <c r="O26" s="1135"/>
      <c r="P26" s="3320"/>
      <c r="Q26" s="2977"/>
      <c r="R26" s="775"/>
      <c r="S26" s="776"/>
      <c r="T26" s="775"/>
      <c r="U26" s="776"/>
      <c r="V26" s="775"/>
      <c r="W26" s="776"/>
      <c r="X26" s="2981"/>
      <c r="Y26" s="3322"/>
      <c r="Z26" s="2980"/>
      <c r="AA26" s="2978">
        <v>1</v>
      </c>
      <c r="AB26" s="2978">
        <v>1</v>
      </c>
      <c r="AC26" s="2677">
        <v>1</v>
      </c>
    </row>
    <row r="27" spans="1:29" ht="15">
      <c r="A27" s="429"/>
      <c r="B27" s="633" t="s">
        <v>2659</v>
      </c>
      <c r="C27" s="3083" t="s">
        <v>3241</v>
      </c>
      <c r="D27" s="436">
        <v>100</v>
      </c>
      <c r="E27" s="617" t="s">
        <v>3241</v>
      </c>
      <c r="F27" s="436">
        <f>SUMIF(89:89,E27,90:90)-SUMIF(89:89,C27,90:90)+100</f>
        <v>100</v>
      </c>
      <c r="G27" s="635" t="s">
        <v>3243</v>
      </c>
      <c r="H27" s="436">
        <f>SUMIF(89:89,G27,90:90)-SUMIF(89:89,C27,90:90)+100</f>
        <v>95</v>
      </c>
      <c r="I27" s="617" t="s">
        <v>3239</v>
      </c>
      <c r="J27" s="436">
        <f>SUMIF(89:89,I27,90:90)-SUMIF(89:89,C27,90:90)+100</f>
        <v>105</v>
      </c>
      <c r="K27" s="613">
        <v>5</v>
      </c>
      <c r="L27" s="1144"/>
      <c r="M27" s="1135"/>
      <c r="N27" s="1135"/>
      <c r="O27" s="1135"/>
      <c r="P27" s="3320"/>
      <c r="Q27" s="2977" t="str">
        <f t="shared" ref="Q27:Q47" si="11">B27</f>
        <v>楼层</v>
      </c>
      <c r="R27" s="775" t="s">
        <v>17</v>
      </c>
      <c r="S27" s="776">
        <f>F27</f>
        <v>100</v>
      </c>
      <c r="T27" s="775" t="s">
        <v>17</v>
      </c>
      <c r="U27" s="776">
        <f>H27</f>
        <v>95</v>
      </c>
      <c r="V27" s="775" t="s">
        <v>17</v>
      </c>
      <c r="W27" s="776">
        <f>J27</f>
        <v>105</v>
      </c>
      <c r="X27" s="2981"/>
      <c r="Y27" s="3322"/>
      <c r="Z27" s="2980" t="str">
        <f>Q27</f>
        <v>楼层</v>
      </c>
      <c r="AA27" s="2978">
        <f t="shared" si="3"/>
        <v>1</v>
      </c>
      <c r="AB27" s="2978">
        <f t="shared" si="4"/>
        <v>1.0526315789473684</v>
      </c>
      <c r="AC27" s="2677">
        <f t="shared" si="5"/>
        <v>0.95238095238095233</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20"/>
      <c r="Q28" s="2955" t="str">
        <f t="shared" si="11"/>
        <v>朝向</v>
      </c>
      <c r="R28" s="771" t="s">
        <v>17</v>
      </c>
      <c r="S28" s="772">
        <f>F28</f>
        <v>100</v>
      </c>
      <c r="T28" s="771" t="s">
        <v>17</v>
      </c>
      <c r="U28" s="772">
        <f>H28</f>
        <v>100</v>
      </c>
      <c r="V28" s="771" t="s">
        <v>17</v>
      </c>
      <c r="W28" s="772">
        <f>J28</f>
        <v>100</v>
      </c>
      <c r="X28" s="773"/>
      <c r="Y28" s="3322"/>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2977">
        <f t="shared" si="11"/>
        <v>111</v>
      </c>
      <c r="R29" s="775" t="s">
        <v>17</v>
      </c>
      <c r="S29" s="776">
        <f t="shared" ref="S29:S47" si="12">F29</f>
        <v>100</v>
      </c>
      <c r="T29" s="775" t="s">
        <v>17</v>
      </c>
      <c r="U29" s="776">
        <f t="shared" ref="U29:U47" si="13">H29</f>
        <v>100</v>
      </c>
      <c r="V29" s="775" t="s">
        <v>17</v>
      </c>
      <c r="W29" s="776">
        <f t="shared" ref="W29:W47" si="14">J29</f>
        <v>100</v>
      </c>
      <c r="X29" s="2981"/>
      <c r="Y29" s="3322"/>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2977">
        <f t="shared" si="11"/>
        <v>111</v>
      </c>
      <c r="R30" s="775" t="s">
        <v>17</v>
      </c>
      <c r="S30" s="776">
        <f t="shared" si="12"/>
        <v>100</v>
      </c>
      <c r="T30" s="775" t="s">
        <v>17</v>
      </c>
      <c r="U30" s="776">
        <f t="shared" si="13"/>
        <v>100</v>
      </c>
      <c r="V30" s="775" t="s">
        <v>17</v>
      </c>
      <c r="W30" s="776">
        <f t="shared" si="14"/>
        <v>100</v>
      </c>
      <c r="X30" s="2981"/>
      <c r="Y30" s="3322"/>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2977">
        <f t="shared" si="11"/>
        <v>111</v>
      </c>
      <c r="R31" s="775" t="s">
        <v>17</v>
      </c>
      <c r="S31" s="776">
        <f t="shared" si="12"/>
        <v>100</v>
      </c>
      <c r="T31" s="775" t="s">
        <v>17</v>
      </c>
      <c r="U31" s="776">
        <f t="shared" si="13"/>
        <v>100</v>
      </c>
      <c r="V31" s="775" t="s">
        <v>17</v>
      </c>
      <c r="W31" s="776">
        <f t="shared" si="14"/>
        <v>100</v>
      </c>
      <c r="X31" s="2981"/>
      <c r="Y31" s="3322"/>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2977">
        <f t="shared" si="11"/>
        <v>111</v>
      </c>
      <c r="R32" s="775" t="s">
        <v>17</v>
      </c>
      <c r="S32" s="776">
        <f t="shared" si="12"/>
        <v>100</v>
      </c>
      <c r="T32" s="775" t="s">
        <v>17</v>
      </c>
      <c r="U32" s="776">
        <f t="shared" si="13"/>
        <v>100</v>
      </c>
      <c r="V32" s="775" t="s">
        <v>17</v>
      </c>
      <c r="W32" s="776">
        <f t="shared" si="14"/>
        <v>100</v>
      </c>
      <c r="X32" s="2981"/>
      <c r="Y32" s="3322"/>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23" t="s">
        <v>2565</v>
      </c>
      <c r="Q33" s="2977" t="str">
        <f t="shared" si="11"/>
        <v>建筑类型</v>
      </c>
      <c r="R33" s="775" t="s">
        <v>17</v>
      </c>
      <c r="S33" s="776">
        <f t="shared" si="12"/>
        <v>100</v>
      </c>
      <c r="T33" s="775" t="s">
        <v>17</v>
      </c>
      <c r="U33" s="776">
        <f t="shared" si="13"/>
        <v>100</v>
      </c>
      <c r="V33" s="775" t="s">
        <v>17</v>
      </c>
      <c r="W33" s="776">
        <f t="shared" si="14"/>
        <v>100</v>
      </c>
      <c r="X33" s="2981"/>
      <c r="Y33" s="3326"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101</v>
      </c>
      <c r="G34" s="3013">
        <v>450</v>
      </c>
      <c r="H34" s="136">
        <f>LOOKUP(G34,104:104,105:105)-LOOKUP(C34,104:104,105:105)+100</f>
        <v>98</v>
      </c>
      <c r="I34" s="430">
        <v>350</v>
      </c>
      <c r="J34" s="136">
        <f>LOOKUP(I34,104:104,105:105)-LOOKUP(C34,104:104,105:105)+100</f>
        <v>97</v>
      </c>
      <c r="K34" s="614"/>
      <c r="L34" s="1142"/>
      <c r="M34" s="1145"/>
      <c r="N34" s="1145"/>
      <c r="O34" s="1145"/>
      <c r="P34" s="3324"/>
      <c r="Q34" s="777" t="str">
        <f t="shared" si="11"/>
        <v>项目建筑规模</v>
      </c>
      <c r="R34" s="778" t="s">
        <v>17</v>
      </c>
      <c r="S34" s="779">
        <f t="shared" si="12"/>
        <v>101</v>
      </c>
      <c r="T34" s="778" t="s">
        <v>17</v>
      </c>
      <c r="U34" s="779">
        <f t="shared" si="13"/>
        <v>98</v>
      </c>
      <c r="V34" s="778" t="s">
        <v>17</v>
      </c>
      <c r="W34" s="779">
        <f t="shared" si="14"/>
        <v>97</v>
      </c>
      <c r="X34" s="780"/>
      <c r="Y34" s="3326"/>
      <c r="Z34" s="781" t="str">
        <f t="shared" si="15"/>
        <v>项目建筑规模</v>
      </c>
      <c r="AA34" s="2978">
        <f t="shared" si="3"/>
        <v>0.99009900990099009</v>
      </c>
      <c r="AB34" s="2978">
        <f t="shared" si="4"/>
        <v>1.0204081632653061</v>
      </c>
      <c r="AC34" s="2677">
        <f t="shared" si="5"/>
        <v>1.0309278350515463</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24"/>
      <c r="Q35" s="2977" t="str">
        <f t="shared" si="11"/>
        <v>建筑结构</v>
      </c>
      <c r="R35" s="775" t="s">
        <v>17</v>
      </c>
      <c r="S35" s="776">
        <f t="shared" si="12"/>
        <v>100</v>
      </c>
      <c r="T35" s="775" t="s">
        <v>17</v>
      </c>
      <c r="U35" s="776">
        <f t="shared" si="13"/>
        <v>100</v>
      </c>
      <c r="V35" s="775" t="s">
        <v>17</v>
      </c>
      <c r="W35" s="776">
        <f t="shared" si="14"/>
        <v>100</v>
      </c>
      <c r="X35" s="2981"/>
      <c r="Y35" s="3326"/>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24"/>
      <c r="Q36" s="2977" t="str">
        <f t="shared" si="11"/>
        <v>公共部分装修</v>
      </c>
      <c r="R36" s="775" t="s">
        <v>17</v>
      </c>
      <c r="S36" s="776">
        <f t="shared" si="12"/>
        <v>100</v>
      </c>
      <c r="T36" s="775" t="s">
        <v>17</v>
      </c>
      <c r="U36" s="776">
        <f t="shared" si="13"/>
        <v>100</v>
      </c>
      <c r="V36" s="775" t="s">
        <v>17</v>
      </c>
      <c r="W36" s="776">
        <f t="shared" si="14"/>
        <v>100</v>
      </c>
      <c r="X36" s="2981"/>
      <c r="Y36" s="3326"/>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14">
        <f>ROUND(1-(2018-2004)/60,2)</f>
        <v>0.77</v>
      </c>
      <c r="H37" s="462">
        <f>LOOKUP(G37,111:111,112:112)-LOOKUP(C37,111:111,112:112)+100</f>
        <v>98</v>
      </c>
      <c r="I37" s="475">
        <v>0.82</v>
      </c>
      <c r="J37" s="436">
        <f>LOOKUP(I37,111:111,112:112)-LOOKUP(C37,111:111,112:112)+100</f>
        <v>100</v>
      </c>
      <c r="K37" s="613">
        <v>2</v>
      </c>
      <c r="L37" s="1144"/>
      <c r="M37" s="1135"/>
      <c r="N37" s="1135"/>
      <c r="O37" s="1135"/>
      <c r="P37" s="3324"/>
      <c r="Q37" s="2977" t="str">
        <f t="shared" si="11"/>
        <v>成新度</v>
      </c>
      <c r="R37" s="775" t="s">
        <v>17</v>
      </c>
      <c r="S37" s="776">
        <f t="shared" si="12"/>
        <v>98</v>
      </c>
      <c r="T37" s="775" t="s">
        <v>17</v>
      </c>
      <c r="U37" s="776">
        <f t="shared" si="13"/>
        <v>98</v>
      </c>
      <c r="V37" s="775" t="s">
        <v>17</v>
      </c>
      <c r="W37" s="776">
        <f t="shared" si="14"/>
        <v>100</v>
      </c>
      <c r="X37" s="2981"/>
      <c r="Y37" s="3326"/>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24"/>
      <c r="Q38" s="2955" t="str">
        <f t="shared" si="11"/>
        <v>写字楼等级</v>
      </c>
      <c r="R38" s="771" t="s">
        <v>17</v>
      </c>
      <c r="S38" s="772">
        <f t="shared" si="12"/>
        <v>95</v>
      </c>
      <c r="T38" s="771" t="s">
        <v>17</v>
      </c>
      <c r="U38" s="772">
        <f t="shared" si="13"/>
        <v>95</v>
      </c>
      <c r="V38" s="771" t="s">
        <v>17</v>
      </c>
      <c r="W38" s="772">
        <f t="shared" si="14"/>
        <v>95</v>
      </c>
      <c r="X38" s="773"/>
      <c r="Y38" s="3326"/>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24" t="s">
        <v>2565</v>
      </c>
      <c r="Q39" s="2977" t="str">
        <f t="shared" si="11"/>
        <v>物业管理</v>
      </c>
      <c r="R39" s="775" t="s">
        <v>17</v>
      </c>
      <c r="S39" s="776">
        <f t="shared" si="12"/>
        <v>100</v>
      </c>
      <c r="T39" s="775" t="s">
        <v>17</v>
      </c>
      <c r="U39" s="776">
        <f t="shared" si="13"/>
        <v>100</v>
      </c>
      <c r="V39" s="775" t="s">
        <v>17</v>
      </c>
      <c r="W39" s="776">
        <f t="shared" si="14"/>
        <v>100</v>
      </c>
      <c r="X39" s="2981"/>
      <c r="Y39" s="3326"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24"/>
      <c r="Q40" s="2977" t="str">
        <f t="shared" si="11"/>
        <v>市政基础设施</v>
      </c>
      <c r="R40" s="775" t="s">
        <v>17</v>
      </c>
      <c r="S40" s="776">
        <f t="shared" si="12"/>
        <v>100</v>
      </c>
      <c r="T40" s="775" t="s">
        <v>17</v>
      </c>
      <c r="U40" s="776">
        <f t="shared" si="13"/>
        <v>100</v>
      </c>
      <c r="V40" s="775" t="s">
        <v>17</v>
      </c>
      <c r="W40" s="776">
        <f t="shared" si="14"/>
        <v>100</v>
      </c>
      <c r="X40" s="2981"/>
      <c r="Y40" s="3326"/>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24"/>
      <c r="Q41" s="2977" t="str">
        <f t="shared" si="11"/>
        <v>层高</v>
      </c>
      <c r="R41" s="775" t="s">
        <v>17</v>
      </c>
      <c r="S41" s="776">
        <f t="shared" si="12"/>
        <v>100</v>
      </c>
      <c r="T41" s="775" t="s">
        <v>17</v>
      </c>
      <c r="U41" s="776">
        <f t="shared" si="13"/>
        <v>100</v>
      </c>
      <c r="V41" s="775" t="s">
        <v>17</v>
      </c>
      <c r="W41" s="776">
        <f t="shared" si="14"/>
        <v>100</v>
      </c>
      <c r="X41" s="2981"/>
      <c r="Y41" s="3326"/>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24"/>
      <c r="Q43" s="2977" t="str">
        <f t="shared" si="11"/>
        <v>内部装修</v>
      </c>
      <c r="R43" s="775" t="s">
        <v>17</v>
      </c>
      <c r="S43" s="776">
        <f t="shared" si="12"/>
        <v>100</v>
      </c>
      <c r="T43" s="775" t="s">
        <v>17</v>
      </c>
      <c r="U43" s="776">
        <f t="shared" si="13"/>
        <v>100</v>
      </c>
      <c r="V43" s="775" t="s">
        <v>17</v>
      </c>
      <c r="W43" s="776">
        <f t="shared" si="14"/>
        <v>100</v>
      </c>
      <c r="X43" s="2981"/>
      <c r="Y43" s="3326"/>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24"/>
      <c r="Q44" s="2977" t="str">
        <f t="shared" si="11"/>
        <v>内部装修维护情况</v>
      </c>
      <c r="R44" s="775" t="s">
        <v>17</v>
      </c>
      <c r="S44" s="776">
        <f t="shared" si="12"/>
        <v>100</v>
      </c>
      <c r="T44" s="775" t="s">
        <v>17</v>
      </c>
      <c r="U44" s="776">
        <f t="shared" si="13"/>
        <v>100</v>
      </c>
      <c r="V44" s="775" t="s">
        <v>17</v>
      </c>
      <c r="W44" s="776">
        <f t="shared" si="14"/>
        <v>100</v>
      </c>
      <c r="X44" s="2981"/>
      <c r="Y44" s="3326"/>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2955">
        <f t="shared" si="11"/>
        <v>0</v>
      </c>
      <c r="R45" s="771" t="s">
        <v>17</v>
      </c>
      <c r="S45" s="772">
        <f t="shared" si="12"/>
        <v>100</v>
      </c>
      <c r="T45" s="771" t="s">
        <v>17</v>
      </c>
      <c r="U45" s="772">
        <f t="shared" si="13"/>
        <v>100</v>
      </c>
      <c r="V45" s="771" t="s">
        <v>17</v>
      </c>
      <c r="W45" s="772">
        <f t="shared" si="14"/>
        <v>100</v>
      </c>
      <c r="X45" s="773"/>
      <c r="Y45" s="3326"/>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2977">
        <f t="shared" si="11"/>
        <v>0</v>
      </c>
      <c r="R46" s="775" t="s">
        <v>17</v>
      </c>
      <c r="S46" s="776">
        <f t="shared" si="12"/>
        <v>100</v>
      </c>
      <c r="T46" s="775" t="s">
        <v>17</v>
      </c>
      <c r="U46" s="776">
        <f t="shared" si="13"/>
        <v>100</v>
      </c>
      <c r="V46" s="775" t="s">
        <v>17</v>
      </c>
      <c r="W46" s="776">
        <f t="shared" si="14"/>
        <v>100</v>
      </c>
      <c r="X46" s="2981"/>
      <c r="Y46" s="3326"/>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2977">
        <f t="shared" si="11"/>
        <v>0</v>
      </c>
      <c r="R47" s="775" t="s">
        <v>17</v>
      </c>
      <c r="S47" s="776">
        <f t="shared" si="12"/>
        <v>100</v>
      </c>
      <c r="T47" s="775" t="s">
        <v>17</v>
      </c>
      <c r="U47" s="776">
        <f t="shared" si="13"/>
        <v>100</v>
      </c>
      <c r="V47" s="775" t="s">
        <v>17</v>
      </c>
      <c r="W47" s="776">
        <f t="shared" si="14"/>
        <v>100</v>
      </c>
      <c r="X47" s="2981"/>
      <c r="Y47" s="3327"/>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7.6</v>
      </c>
      <c r="H48" s="1416"/>
      <c r="I48" s="1413">
        <v>8</v>
      </c>
      <c r="J48" s="486"/>
      <c r="K48" s="784"/>
      <c r="L48" s="1147"/>
      <c r="M48" s="1135"/>
      <c r="N48" s="1135"/>
      <c r="O48" s="1135"/>
      <c r="P48" s="3313" t="str">
        <f>A48</f>
        <v>成交单价（元/平方米）</v>
      </c>
      <c r="Q48" s="3314"/>
      <c r="R48" s="3315">
        <f>E48</f>
        <v>7</v>
      </c>
      <c r="S48" s="3315"/>
      <c r="T48" s="3315">
        <f>G48</f>
        <v>7.6</v>
      </c>
      <c r="U48" s="3315"/>
      <c r="V48" s="3315">
        <f>I48</f>
        <v>8</v>
      </c>
      <c r="W48" s="3315"/>
      <c r="X48" s="447"/>
      <c r="Y48" s="782"/>
      <c r="Z48" s="447"/>
      <c r="AA48" s="447"/>
      <c r="AB48" s="447"/>
      <c r="AC48" s="631"/>
    </row>
    <row r="49" spans="1:29" ht="15.75" thickBot="1">
      <c r="A49" s="487" t="s">
        <v>2578</v>
      </c>
      <c r="B49" s="488"/>
      <c r="C49" s="1417">
        <f>R50</f>
        <v>8.4</v>
      </c>
      <c r="D49" s="1418"/>
      <c r="E49" s="1419">
        <f>R49</f>
        <v>7.5</v>
      </c>
      <c r="F49" s="1419"/>
      <c r="G49" s="1417">
        <f>T49</f>
        <v>8.9</v>
      </c>
      <c r="H49" s="1418"/>
      <c r="I49" s="1419">
        <f>V49</f>
        <v>8.9</v>
      </c>
      <c r="J49" s="490"/>
      <c r="K49" s="785"/>
      <c r="L49" s="1147"/>
      <c r="M49" s="1135"/>
      <c r="N49" s="1135"/>
      <c r="O49" s="1135"/>
      <c r="P49" s="3313" t="str">
        <f>A49</f>
        <v>比较价值（元/平方米）</v>
      </c>
      <c r="Q49" s="3314"/>
      <c r="R49" s="3315">
        <f>IF(F1="售价",ROUND(PRODUCT(R48,AA7:AA47),0),ROUND(PRODUCT(R48,AA7:AA47),1))</f>
        <v>7.5</v>
      </c>
      <c r="S49" s="3315"/>
      <c r="T49" s="3315">
        <f>IF(F1="售价",ROUND(PRODUCT(T48,AB7:AB47),0),ROUND(PRODUCT(T48,AB7:AB47),1))</f>
        <v>8.9</v>
      </c>
      <c r="U49" s="3315"/>
      <c r="V49" s="3315">
        <f>IF(F1="售价",ROUND(PRODUCT(V48,AC7:AC47),0),ROUND(PRODUCT(V48,AC7:AC47),1))</f>
        <v>8.9</v>
      </c>
      <c r="W49" s="3315"/>
      <c r="X49" s="447"/>
      <c r="Y49" s="447"/>
      <c r="Z49" s="447"/>
      <c r="AA49" s="447"/>
      <c r="AB49" s="447"/>
      <c r="AC49" s="631"/>
    </row>
    <row r="50" spans="1:29" ht="15.75" thickBot="1">
      <c r="A50" s="493" t="s">
        <v>2579</v>
      </c>
      <c r="B50" s="494"/>
      <c r="C50" s="1421">
        <f>R50</f>
        <v>8.4</v>
      </c>
      <c r="D50" s="1421"/>
      <c r="E50" s="1421"/>
      <c r="F50" s="1421"/>
      <c r="G50" s="1421"/>
      <c r="H50" s="1421"/>
      <c r="I50" s="1421"/>
      <c r="J50" s="495"/>
      <c r="K50" s="786"/>
      <c r="L50" s="1147"/>
      <c r="M50" s="1135"/>
      <c r="N50" s="1135"/>
      <c r="O50" s="1135"/>
      <c r="P50" s="3316" t="str">
        <f>A50</f>
        <v>估价对象XX用房的比较价值（楼面单价，元/平方米）</v>
      </c>
      <c r="Q50" s="3317"/>
      <c r="R50" s="3318">
        <f>IF(F1="售价",ROUND(AVERAGE(R49:V49),0),ROUND(AVERAGE(R49:V49),1))</f>
        <v>8.4</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7.1428571428571397E-2</v>
      </c>
      <c r="F53" s="501" t="str">
        <f>IF(OR(E53&gt;=0.3,E53&lt;=-0.3),"超过30%","")</f>
        <v/>
      </c>
      <c r="G53" s="500">
        <f>IF(G48&lt;G49,G49/G48-1,G48/G49-1)</f>
        <v>0.17105263157894757</v>
      </c>
      <c r="H53" s="501" t="str">
        <f>IF(OR(G53&gt;=0.3,G53&lt;=-0.3),"超过30%","")</f>
        <v/>
      </c>
      <c r="I53" s="500">
        <f>IF(I48&lt;I49,I49/I48-1,I48/I49-1)</f>
        <v>0.11250000000000004</v>
      </c>
      <c r="J53" s="501" t="str">
        <f>IF(OR(I53&gt;=0.3,I53&lt;=-0.3),"超过30%","")</f>
        <v/>
      </c>
      <c r="K53" s="1109"/>
      <c r="L53" s="1110"/>
      <c r="M53" s="1148"/>
      <c r="N53" s="1148"/>
      <c r="O53" s="1148"/>
    </row>
    <row r="54" spans="1:29" ht="13.5" customHeight="1">
      <c r="A54" s="1148"/>
      <c r="B54" s="1148"/>
      <c r="C54" s="498" t="s">
        <v>2581</v>
      </c>
      <c r="D54" s="502"/>
      <c r="E54" s="500">
        <f>IF(E49&lt;G49,G49/E49-1,E49/G49-1)</f>
        <v>0.18666666666666676</v>
      </c>
      <c r="F54" s="501" t="str">
        <f>IF(OR(E54&gt;=0.2,E54&lt;=-0.2),"超过20%","")</f>
        <v/>
      </c>
      <c r="G54" s="500">
        <f>IF(G49&lt;I49,I49/G49-1,G49/I49-1)</f>
        <v>0</v>
      </c>
      <c r="H54" s="501" t="str">
        <f>IF(OR(G54&gt;=0.2,G54&lt;=-0.2),"超过20%","")</f>
        <v/>
      </c>
      <c r="I54" s="500">
        <f>IF(I49&lt;E49,E49/I49-1,I49/E49-1)</f>
        <v>0.18666666666666676</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8.5714285714285632E-2</v>
      </c>
      <c r="F55" s="501" t="str">
        <f>IF(OR(E55&gt;=0.3,E55&lt;=-0.3),"超过30%","")</f>
        <v/>
      </c>
      <c r="G55" s="500">
        <f>IF(G48&lt;I48,I48/G48-1,G48/I48-1)</f>
        <v>5.2631578947368363E-2</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15.7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c r="J104" s="550"/>
      <c r="K104" s="597"/>
      <c r="L104" s="598"/>
      <c r="M104" s="599"/>
      <c r="N104" s="1158"/>
      <c r="O104" s="1158"/>
      <c r="P104" s="2688"/>
      <c r="Q104" s="560"/>
    </row>
    <row r="105" spans="1:17" s="472" customFormat="1" ht="15.75" thickBot="1">
      <c r="A105" s="554"/>
      <c r="B105" s="544"/>
      <c r="C105" s="561">
        <v>100</v>
      </c>
      <c r="D105" s="537">
        <v>101</v>
      </c>
      <c r="E105" s="561">
        <v>102</v>
      </c>
      <c r="F105" s="537">
        <v>103</v>
      </c>
      <c r="G105" s="561">
        <v>104</v>
      </c>
      <c r="H105" s="537">
        <v>105</v>
      </c>
      <c r="I105" s="561"/>
      <c r="J105" s="537"/>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95" priority="16" stopIfTrue="1" operator="containsText" text="超过">
      <formula>NOT(ISERROR(SEARCH("超过",F53)))</formula>
    </cfRule>
  </conditionalFormatting>
  <conditionalFormatting sqref="H55">
    <cfRule type="containsText" dxfId="194" priority="15" stopIfTrue="1" operator="containsText" text="超过">
      <formula>NOT(ISERROR(SEARCH("超过",H55)))</formula>
    </cfRule>
  </conditionalFormatting>
  <conditionalFormatting sqref="F55">
    <cfRule type="containsText" dxfId="193" priority="14" stopIfTrue="1" operator="containsText" text="超过">
      <formula>NOT(ISERROR(SEARCH("超过",F55)))</formula>
    </cfRule>
  </conditionalFormatting>
  <conditionalFormatting sqref="F54 H54">
    <cfRule type="containsText" dxfId="192" priority="13" stopIfTrue="1" operator="containsText" text="超过">
      <formula>NOT(ISERROR(SEARCH("超过",F54)))</formula>
    </cfRule>
  </conditionalFormatting>
  <conditionalFormatting sqref="E53">
    <cfRule type="expression" dxfId="191" priority="12" stopIfTrue="1">
      <formula>$F$53="超过30%"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5">
    <cfRule type="expression" dxfId="188" priority="9" stopIfTrue="1">
      <formula>$H$55="超过30%"</formula>
    </cfRule>
  </conditionalFormatting>
  <conditionalFormatting sqref="G53">
    <cfRule type="expression" dxfId="187" priority="8" stopIfTrue="1">
      <formula>$H$53="超过30%"</formula>
    </cfRule>
  </conditionalFormatting>
  <conditionalFormatting sqref="G54">
    <cfRule type="expression" dxfId="186" priority="7" stopIfTrue="1">
      <formula>$H$54="超过20%"</formula>
    </cfRule>
  </conditionalFormatting>
  <conditionalFormatting sqref="J53">
    <cfRule type="containsText" dxfId="185" priority="6" stopIfTrue="1" operator="containsText" text="超过">
      <formula>NOT(ISERROR(SEARCH("超过",J53)))</formula>
    </cfRule>
  </conditionalFormatting>
  <conditionalFormatting sqref="J55">
    <cfRule type="containsText" dxfId="184" priority="5" stopIfTrue="1" operator="containsText" text="超过">
      <formula>NOT(ISERROR(SEARCH("超过",J55)))</formula>
    </cfRule>
  </conditionalFormatting>
  <conditionalFormatting sqref="J54">
    <cfRule type="containsText" dxfId="183" priority="4" stopIfTrue="1" operator="containsText" text="超过">
      <formula>NOT(ISERROR(SEARCH("超过",J54)))</formula>
    </cfRule>
  </conditionalFormatting>
  <conditionalFormatting sqref="I53">
    <cfRule type="expression" dxfId="182" priority="3" stopIfTrue="1">
      <formula>$J$53="超过30%"</formula>
    </cfRule>
  </conditionalFormatting>
  <conditionalFormatting sqref="I54">
    <cfRule type="expression" dxfId="181" priority="2" stopIfTrue="1">
      <formula>$J$53+$J$54="超过20%"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B7" sqref="B7:C7"/>
    </sheetView>
  </sheetViews>
  <sheetFormatPr defaultRowHeight="13.5"/>
  <sheetData>
    <row r="1" spans="1:5">
      <c r="B1" s="2996" t="s">
        <v>3349</v>
      </c>
      <c r="C1" s="2996" t="s">
        <v>3351</v>
      </c>
      <c r="E1" s="2996" t="s">
        <v>3354</v>
      </c>
    </row>
    <row r="2" spans="1:5">
      <c r="A2" s="2996" t="s">
        <v>3350</v>
      </c>
      <c r="B2">
        <f>'比较法-办公已租'!C50</f>
        <v>52081</v>
      </c>
      <c r="C2">
        <f ca="1">ROUND(C3*10000/E2,0)</f>
        <v>55868</v>
      </c>
      <c r="E2">
        <f>'数据-汇总表'!F19+'数据-汇总表'!F20</f>
        <v>63306.74000000002</v>
      </c>
    </row>
    <row r="3" spans="1:5">
      <c r="A3" s="2996" t="s">
        <v>3355</v>
      </c>
      <c r="B3">
        <f>ROUND(B2*E2/10000,0)</f>
        <v>329708</v>
      </c>
      <c r="C3">
        <f ca="1">'收益法-办公已租'!B2+'收益法-办公未租'!B2</f>
        <v>353679</v>
      </c>
    </row>
    <row r="4" spans="1:5">
      <c r="A4" s="2996" t="s">
        <v>3356</v>
      </c>
      <c r="B4" s="3375">
        <f ca="1">C3/B3-1</f>
        <v>7.2703725720940859E-2</v>
      </c>
      <c r="C4" s="3375"/>
    </row>
    <row r="5" spans="1:5">
      <c r="A5" s="2996" t="s">
        <v>3357</v>
      </c>
      <c r="B5" s="2952">
        <v>0.5</v>
      </c>
      <c r="C5" s="2952">
        <v>0.5</v>
      </c>
    </row>
    <row r="6" spans="1:5">
      <c r="A6" s="2996" t="s">
        <v>3358</v>
      </c>
      <c r="B6" s="3073">
        <f ca="1">ROUND(B3*B5+C3*C5,0)</f>
        <v>341694</v>
      </c>
      <c r="C6" s="3073"/>
    </row>
    <row r="7" spans="1:5">
      <c r="A7" s="2996" t="s">
        <v>3359</v>
      </c>
      <c r="B7" s="3376">
        <f ca="1">ROUND(B6*10000/E2,0)</f>
        <v>53974</v>
      </c>
      <c r="C7" s="3376"/>
    </row>
  </sheetData>
  <mergeCells count="2">
    <mergeCell ref="B4:C4"/>
    <mergeCell ref="B7:C7"/>
  </mergeCells>
  <phoneticPr fontId="144" type="noConversion"/>
  <pageMargins left="0.7" right="0.7" top="0.75" bottom="0.75" header="0.3" footer="0.3"/>
  <pageSetup paperSize="9" orientation="portrait" horizontalDpi="1200" verticalDpi="1200"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1" sqref="J31"/>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30" t="str">
        <f>项目基本情况!S2</f>
        <v>北京市朝阳区东三环中路20、24号楼2幢商业用房房地产房地产</v>
      </c>
      <c r="B2" s="3231"/>
      <c r="C2" s="3231"/>
      <c r="D2" s="3231"/>
      <c r="E2" s="3231"/>
      <c r="F2" s="3231"/>
      <c r="G2" s="3231"/>
      <c r="H2" s="3231"/>
      <c r="I2" s="3232"/>
    </row>
    <row r="3" spans="1:12" ht="12.75">
      <c r="A3" s="3234" t="s">
        <v>2122</v>
      </c>
      <c r="B3" s="3235"/>
      <c r="C3" s="3235"/>
      <c r="D3" s="3235"/>
      <c r="E3" s="3235"/>
      <c r="F3" s="3235"/>
      <c r="G3" s="3235"/>
      <c r="H3" s="3235"/>
      <c r="I3" s="3235"/>
    </row>
    <row r="4" spans="1:12" ht="14.25">
      <c r="A4" s="2426" t="s">
        <v>2123</v>
      </c>
      <c r="B4" s="2427" t="s">
        <v>2124</v>
      </c>
      <c r="C4" s="2428"/>
      <c r="D4" s="2428"/>
      <c r="E4" s="3227" t="s">
        <v>2125</v>
      </c>
      <c r="F4" s="3228"/>
      <c r="G4" s="3228"/>
      <c r="H4" s="3228"/>
      <c r="I4" s="3236"/>
      <c r="K4" s="2429" t="str">
        <f>IF(ISNUMBER(FIND("比较法",'结果表-办公已租'!C4)),"比较法",IF(ISNUMBER(FIND("成本法",'结果表-办公已租'!C4)),"成本法",IF(ISNUMBER(FIND("假设开发法",'结果表-办公已租'!C4)),"假设开发法",IF(ISNUMBER(FIND("收益法",'结果表-办公已租'!C4)),"收益法","基准地价系数修正法"))))</f>
        <v>基准地价系数修正法</v>
      </c>
      <c r="L4" s="2429" t="str">
        <f>IF(ISNUMBER(FIND("比较法",'结果表-办公已租'!D4)),"比较法",IF(ISNUMBER(FIND("成本法",'结果表-办公已租'!D4)),"成本法",IF(ISNUMBER(FIND("假设开发法",'结果表-办公已租'!D4)),"假设开发法",IF(ISNUMBER(FIND("收益法",'结果表-办公已租'!D4)),"收益法","基准地价系数修正法"))))</f>
        <v>基准地价系数修正法</v>
      </c>
    </row>
    <row r="5" spans="1:12" ht="12.75">
      <c r="A5" s="3210" t="s">
        <v>2126</v>
      </c>
      <c r="B5" s="3148">
        <v>25</v>
      </c>
      <c r="C5" s="3213"/>
      <c r="D5" s="3233"/>
      <c r="E5" s="140" t="s">
        <v>2127</v>
      </c>
      <c r="F5" s="2430"/>
      <c r="G5" s="2430"/>
      <c r="H5" s="2430"/>
      <c r="I5" s="1836"/>
    </row>
    <row r="6" spans="1:12" ht="12.75">
      <c r="A6" s="3210"/>
      <c r="B6" s="3148"/>
      <c r="C6" s="3214"/>
      <c r="D6" s="3233"/>
      <c r="E6" s="140" t="s">
        <v>2128</v>
      </c>
      <c r="F6" s="2430"/>
      <c r="G6" s="2430"/>
      <c r="H6" s="2430"/>
      <c r="I6" s="1836"/>
    </row>
    <row r="7" spans="1:12" ht="12.75">
      <c r="A7" s="3210"/>
      <c r="B7" s="3148"/>
      <c r="C7" s="3215"/>
      <c r="D7" s="3233"/>
      <c r="E7" s="140" t="s">
        <v>2129</v>
      </c>
      <c r="F7" s="2430"/>
      <c r="G7" s="2430"/>
      <c r="H7" s="2430"/>
      <c r="I7" s="1836"/>
    </row>
    <row r="8" spans="1:12" ht="12.75">
      <c r="A8" s="3210" t="s">
        <v>2130</v>
      </c>
      <c r="B8" s="3148">
        <v>15</v>
      </c>
      <c r="C8" s="3213"/>
      <c r="D8" s="3233"/>
      <c r="E8" s="140" t="s">
        <v>2131</v>
      </c>
      <c r="F8" s="2430"/>
      <c r="G8" s="2430"/>
      <c r="H8" s="2430"/>
      <c r="I8" s="1836"/>
    </row>
    <row r="9" spans="1:12" ht="12.75">
      <c r="A9" s="3210"/>
      <c r="B9" s="3148"/>
      <c r="C9" s="3215"/>
      <c r="D9" s="3233"/>
      <c r="E9" s="140" t="s">
        <v>2132</v>
      </c>
      <c r="F9" s="2430"/>
      <c r="G9" s="2430"/>
      <c r="H9" s="2430"/>
      <c r="I9" s="1836"/>
    </row>
    <row r="10" spans="1:12" ht="12.75">
      <c r="A10" s="3210" t="s">
        <v>2133</v>
      </c>
      <c r="B10" s="3148">
        <v>15</v>
      </c>
      <c r="C10" s="3213"/>
      <c r="D10" s="3233"/>
      <c r="E10" s="140" t="s">
        <v>2134</v>
      </c>
      <c r="F10" s="2430"/>
      <c r="G10" s="2430"/>
      <c r="H10" s="2430"/>
      <c r="I10" s="1836"/>
    </row>
    <row r="11" spans="1:12" ht="12.75">
      <c r="A11" s="3210"/>
      <c r="B11" s="3148"/>
      <c r="C11" s="3215"/>
      <c r="D11" s="3233"/>
      <c r="E11" s="140" t="s">
        <v>2135</v>
      </c>
      <c r="F11" s="2430"/>
      <c r="G11" s="2430"/>
      <c r="H11" s="2430"/>
      <c r="I11" s="1836"/>
    </row>
    <row r="12" spans="1:12" ht="12.75">
      <c r="A12" s="3210" t="s">
        <v>2136</v>
      </c>
      <c r="B12" s="3148">
        <v>15</v>
      </c>
      <c r="C12" s="3213"/>
      <c r="D12" s="3233"/>
      <c r="E12" s="140" t="s">
        <v>2137</v>
      </c>
      <c r="F12" s="2430"/>
      <c r="G12" s="2430"/>
      <c r="H12" s="2430"/>
      <c r="I12" s="1836"/>
    </row>
    <row r="13" spans="1:12" ht="12.75">
      <c r="A13" s="3210"/>
      <c r="B13" s="3148"/>
      <c r="C13" s="3215"/>
      <c r="D13" s="3233"/>
      <c r="E13" s="140" t="s">
        <v>2138</v>
      </c>
      <c r="F13" s="2430"/>
      <c r="G13" s="2430"/>
      <c r="H13" s="2430"/>
      <c r="I13" s="1836"/>
    </row>
    <row r="14" spans="1:12" ht="12.75">
      <c r="A14" s="3210" t="s">
        <v>2139</v>
      </c>
      <c r="B14" s="3148">
        <v>30</v>
      </c>
      <c r="C14" s="3213"/>
      <c r="D14" s="3233"/>
      <c r="E14" s="140" t="s">
        <v>2140</v>
      </c>
      <c r="F14" s="2430"/>
      <c r="G14" s="2430"/>
      <c r="H14" s="2430"/>
      <c r="I14" s="1836"/>
    </row>
    <row r="15" spans="1:12" ht="12.75">
      <c r="A15" s="3210"/>
      <c r="B15" s="3148"/>
      <c r="C15" s="3214"/>
      <c r="D15" s="3233"/>
      <c r="E15" s="140" t="s">
        <v>2141</v>
      </c>
      <c r="F15" s="2430"/>
      <c r="G15" s="2430"/>
      <c r="H15" s="2430"/>
      <c r="I15" s="1836"/>
    </row>
    <row r="16" spans="1:12" ht="12.75">
      <c r="A16" s="3210"/>
      <c r="B16" s="3148"/>
      <c r="C16" s="3215"/>
      <c r="D16" s="3233"/>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SUMIF(INDIRECT("'"&amp;C4&amp;"'"&amp;"!A:A"),'结果表-办公已租'!B19,INDIRECT("'"&amp;C4&amp;"'"&amp;"!B:B"))</f>
        <v>#REF!</v>
      </c>
      <c r="D19" s="144" t="e">
        <f ca="1">SUMIF(INDIRECT("'"&amp;D4&amp;"'"&amp;"!A:A"),'结果表-办公已租'!B19,INDIRECT("'"&amp;D4&amp;"'"&amp;"!B:B"))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SUMIF(INDIRECT("'"&amp;C4&amp;"'"&amp;"!A:A"),'结果表-办公已租'!B20,INDIRECT("'"&amp;C4&amp;"'"&amp;"!B:B"))</f>
        <v>#REF!</v>
      </c>
      <c r="D20" s="147" t="e">
        <f ca="1">SUMIF(INDIRECT("'"&amp;D4&amp;"'"&amp;"!A:A"),'结果表-办公已租'!B20,INDIRECT("'"&amp;D4&amp;"'"&amp;"!B:B"))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04" t="s">
        <v>2157</v>
      </c>
      <c r="B24" s="2436" t="s">
        <v>2149</v>
      </c>
      <c r="C24" s="145">
        <f>IF(B30=0,0,D30)</f>
        <v>0</v>
      </c>
      <c r="D24" s="2443"/>
      <c r="E24" s="138"/>
      <c r="F24" s="138"/>
      <c r="G24" s="138"/>
      <c r="H24" s="138"/>
      <c r="I24" s="138"/>
    </row>
    <row r="25" spans="1:35" ht="14.25">
      <c r="A25" s="3205"/>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22" t="s">
        <v>2171</v>
      </c>
      <c r="B36" s="2462" t="s">
        <v>2172</v>
      </c>
      <c r="C36" s="155"/>
      <c r="D36" s="2463"/>
      <c r="E36" s="2464"/>
      <c r="F36" s="2465"/>
      <c r="G36" s="138"/>
      <c r="H36" s="138"/>
      <c r="I36" s="138"/>
    </row>
    <row r="37" spans="1:15" ht="15.75" thickBot="1">
      <c r="A37" s="3223"/>
      <c r="B37" s="2267" t="s">
        <v>2173</v>
      </c>
      <c r="C37" s="157"/>
      <c r="D37" s="1396"/>
      <c r="E37" s="1396"/>
      <c r="F37" s="2465"/>
      <c r="G37" s="138"/>
      <c r="H37" s="138"/>
      <c r="I37" s="138"/>
    </row>
    <row r="38" spans="1:15" ht="15.75" thickBot="1">
      <c r="A38" s="3224"/>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01" t="s">
        <v>2185</v>
      </c>
      <c r="B45" s="3202"/>
      <c r="C45" s="3203"/>
      <c r="D45" s="165" t="e">
        <f ca="1">ROUND(H101*F45,0)</f>
        <v>#REF!</v>
      </c>
      <c r="E45" s="166" t="s">
        <v>2186</v>
      </c>
      <c r="F45" s="167">
        <v>1</v>
      </c>
      <c r="G45" s="168" t="s">
        <v>2187</v>
      </c>
      <c r="H45" s="138"/>
      <c r="I45" s="138"/>
      <c r="J45" s="3261" t="s">
        <v>2188</v>
      </c>
      <c r="K45" s="3261"/>
      <c r="L45" s="3261"/>
      <c r="M45" s="3261"/>
      <c r="N45" s="3261"/>
      <c r="O45" s="3261"/>
    </row>
    <row r="46" spans="1:15" ht="14.25" customHeight="1">
      <c r="A46" s="3198" t="s">
        <v>2189</v>
      </c>
      <c r="B46" s="3199"/>
      <c r="C46" s="3199"/>
      <c r="D46" s="3199"/>
      <c r="E46" s="3199"/>
      <c r="F46" s="3199"/>
      <c r="G46" s="3200"/>
      <c r="H46" s="2481"/>
      <c r="I46" s="169"/>
      <c r="J46" s="2970">
        <v>1</v>
      </c>
      <c r="K46" s="3261" t="s">
        <v>2190</v>
      </c>
      <c r="L46" s="3261"/>
      <c r="M46" s="3281"/>
      <c r="N46" s="3281"/>
      <c r="O46" s="3281"/>
    </row>
    <row r="47" spans="1:15" ht="12" customHeight="1">
      <c r="A47" s="170" t="s">
        <v>2191</v>
      </c>
      <c r="B47" s="171"/>
      <c r="C47" s="172"/>
      <c r="D47" s="173" t="s">
        <v>2192</v>
      </c>
      <c r="E47" s="24" t="s">
        <v>2193</v>
      </c>
      <c r="F47" s="174" t="s">
        <v>2194</v>
      </c>
      <c r="G47" s="175" t="s">
        <v>2195</v>
      </c>
      <c r="H47" s="2481"/>
      <c r="I47" s="169"/>
      <c r="J47" s="2970">
        <v>2</v>
      </c>
      <c r="K47" s="3261" t="s">
        <v>2196</v>
      </c>
      <c r="L47" s="3261"/>
      <c r="M47" s="3282">
        <f>'数据-取费表'!B2</f>
        <v>43104</v>
      </c>
      <c r="N47" s="3282"/>
      <c r="O47" s="3282"/>
    </row>
    <row r="48" spans="1:15" ht="25.5">
      <c r="A48" s="3229" t="s">
        <v>2197</v>
      </c>
      <c r="B48" s="3212"/>
      <c r="C48" s="3212"/>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261" t="s">
        <v>2200</v>
      </c>
      <c r="L48" s="3261"/>
      <c r="M48" s="3283" t="e">
        <f ca="1">H101</f>
        <v>#REF!</v>
      </c>
      <c r="N48" s="3283"/>
      <c r="O48" s="3283"/>
    </row>
    <row r="49" spans="1:35" ht="25.5" customHeight="1">
      <c r="A49" s="177" t="s">
        <v>2201</v>
      </c>
      <c r="B49" s="3197" t="s">
        <v>2202</v>
      </c>
      <c r="C49" s="3197"/>
      <c r="D49" s="178">
        <v>0</v>
      </c>
      <c r="E49" s="23" t="s">
        <v>2203</v>
      </c>
      <c r="F49" s="28" t="s">
        <v>34</v>
      </c>
      <c r="G49" s="3267"/>
      <c r="H49" s="138"/>
      <c r="I49" s="2484"/>
      <c r="J49" s="2970">
        <v>4</v>
      </c>
      <c r="K49" s="3261" t="str">
        <f>IF(项目基本情况!E8="房地产抵押价值","房地产抵押价值","抵押担保权已注销时的房地产抵押价值")</f>
        <v>房地产抵押价值</v>
      </c>
      <c r="L49" s="3261"/>
      <c r="M49" s="3283" t="e">
        <f ca="1">IF(项目基本情况!E8="房地产抵押价值",H107,H109)</f>
        <v>#REF!</v>
      </c>
      <c r="N49" s="3283"/>
      <c r="O49" s="3283"/>
    </row>
    <row r="50" spans="1:35" ht="25.5" customHeight="1">
      <c r="A50" s="179"/>
      <c r="B50" s="3197" t="s">
        <v>2204</v>
      </c>
      <c r="C50" s="3197"/>
      <c r="D50" s="180"/>
      <c r="E50" s="31"/>
      <c r="F50" s="181"/>
      <c r="G50" s="3268"/>
      <c r="H50" s="138"/>
      <c r="I50" s="2484"/>
      <c r="J50" s="3261" t="s">
        <v>2205</v>
      </c>
      <c r="K50" s="3261"/>
      <c r="L50" s="3261"/>
      <c r="M50" s="3261"/>
      <c r="N50" s="3261"/>
      <c r="O50" s="3261"/>
    </row>
    <row r="51" spans="1:35" ht="12" customHeight="1">
      <c r="A51" s="182"/>
      <c r="B51" s="3197" t="s">
        <v>2206</v>
      </c>
      <c r="C51" s="3197"/>
      <c r="D51" s="183"/>
      <c r="E51" s="30"/>
      <c r="F51" s="181"/>
      <c r="G51" s="3269"/>
      <c r="H51" s="138"/>
      <c r="I51" s="2484"/>
      <c r="J51" s="2969" t="s">
        <v>2207</v>
      </c>
      <c r="K51" s="3261" t="s">
        <v>2208</v>
      </c>
      <c r="L51" s="3261"/>
      <c r="M51" s="2969" t="s">
        <v>2209</v>
      </c>
      <c r="N51" s="2969" t="s">
        <v>2210</v>
      </c>
      <c r="O51" s="2969" t="s">
        <v>2211</v>
      </c>
    </row>
    <row r="52" spans="1:35" ht="24" customHeight="1">
      <c r="A52" s="184" t="s">
        <v>2212</v>
      </c>
      <c r="B52" s="3197" t="s">
        <v>2213</v>
      </c>
      <c r="C52" s="3197"/>
      <c r="D52" s="183" t="e">
        <f ca="1">ROUND(D45*'数据-取费表'!B41/(1+'数据-取费表'!C42),0)</f>
        <v>#REF!</v>
      </c>
      <c r="E52" s="11" t="s">
        <v>2214</v>
      </c>
      <c r="F52" s="185">
        <f>'数据-取费表'!B41</f>
        <v>5.6000000000000001E-2</v>
      </c>
      <c r="G52" s="2486"/>
      <c r="H52" s="138"/>
      <c r="I52" s="2484"/>
      <c r="J52" s="2970">
        <v>1</v>
      </c>
      <c r="K52" s="3262" t="s">
        <v>2215</v>
      </c>
      <c r="L52" s="3262"/>
      <c r="M52" s="1756">
        <f>D48</f>
        <v>0</v>
      </c>
      <c r="N52" s="2970" t="str">
        <f>E48</f>
        <v>销售额×税（费）率</v>
      </c>
      <c r="O52" s="1757" t="str">
        <f>F48</f>
        <v>免征</v>
      </c>
    </row>
    <row r="53" spans="1:35" ht="12" customHeight="1">
      <c r="A53" s="184" t="s">
        <v>2216</v>
      </c>
      <c r="B53" s="3220" t="s">
        <v>2217</v>
      </c>
      <c r="C53" s="3221"/>
      <c r="D53" s="183" t="e">
        <f ca="1">ROUND(D45*'数据-取费表'!B41/(1+'数据-取费表'!C42),0)</f>
        <v>#REF!</v>
      </c>
      <c r="E53" s="11" t="s">
        <v>2214</v>
      </c>
      <c r="F53" s="185">
        <f>'数据-取费表'!B41</f>
        <v>5.6000000000000001E-2</v>
      </c>
      <c r="G53" s="2486"/>
      <c r="H53" s="138"/>
      <c r="I53" s="2484"/>
      <c r="J53" s="2970">
        <v>2</v>
      </c>
      <c r="K53" s="3262" t="s">
        <v>2218</v>
      </c>
      <c r="L53" s="3262"/>
      <c r="M53" s="1756" t="e">
        <f t="shared" ref="M53:O54" ca="1" si="0">D55</f>
        <v>#REF!</v>
      </c>
      <c r="N53" s="2970" t="str">
        <f t="shared" si="0"/>
        <v>销售额×税（费）率</v>
      </c>
      <c r="O53" s="1757">
        <f t="shared" si="0"/>
        <v>5.0000000000000001E-4</v>
      </c>
    </row>
    <row r="54" spans="1:35" ht="12" customHeight="1">
      <c r="A54" s="184" t="s">
        <v>2219</v>
      </c>
      <c r="B54" s="3220" t="s">
        <v>2220</v>
      </c>
      <c r="C54" s="3221"/>
      <c r="D54" s="183" t="e">
        <f ca="1">C68</f>
        <v>#REF!</v>
      </c>
      <c r="E54" s="30" t="s">
        <v>2221</v>
      </c>
      <c r="F54" s="185">
        <f>'数据-取费表'!B41</f>
        <v>5.6000000000000001E-2</v>
      </c>
      <c r="G54" s="2486"/>
      <c r="H54" s="2487"/>
      <c r="I54" s="2484"/>
      <c r="J54" s="2970">
        <v>3</v>
      </c>
      <c r="K54" s="3262" t="s">
        <v>2222</v>
      </c>
      <c r="L54" s="3262"/>
      <c r="M54" s="1756" t="e">
        <f t="shared" ca="1" si="0"/>
        <v>#REF!</v>
      </c>
      <c r="N54" s="2970" t="str">
        <f t="shared" si="0"/>
        <v>增值额×税（费）率</v>
      </c>
      <c r="O54" s="1758" t="str">
        <f t="shared" si="0"/>
        <v>——</v>
      </c>
    </row>
    <row r="55" spans="1:35" ht="24" customHeight="1">
      <c r="A55" s="3211" t="s">
        <v>2223</v>
      </c>
      <c r="B55" s="3212"/>
      <c r="C55" s="3212"/>
      <c r="D55" s="186" t="e">
        <f ca="1">IF(H55="个人住宅",0,ROUND(D45*I55,0))</f>
        <v>#REF!</v>
      </c>
      <c r="E55" s="11" t="s">
        <v>2224</v>
      </c>
      <c r="F55" s="185">
        <f>IF(H55="正常",I55,"免征")</f>
        <v>5.0000000000000001E-4</v>
      </c>
      <c r="G55" s="2486"/>
      <c r="H55" s="2483" t="s">
        <v>2225</v>
      </c>
      <c r="I55" s="187">
        <f>'数据-取费表'!B49</f>
        <v>5.0000000000000001E-4</v>
      </c>
      <c r="J55" s="2970" t="str">
        <f>IF(H59="非个人房产","",4)</f>
        <v/>
      </c>
      <c r="K55" s="3262" t="str">
        <f>IF(H59="非个人房产","——","个人所得税")</f>
        <v>——</v>
      </c>
      <c r="L55" s="3262"/>
      <c r="M55" s="1759" t="str">
        <f>D59</f>
        <v>——</v>
      </c>
      <c r="N55" s="2971" t="str">
        <f>E59</f>
        <v>——</v>
      </c>
      <c r="O55" s="1760" t="str">
        <f>F59</f>
        <v>——</v>
      </c>
    </row>
    <row r="56" spans="1:35" ht="24.75">
      <c r="A56" s="3211" t="s">
        <v>2226</v>
      </c>
      <c r="B56" s="3212"/>
      <c r="C56" s="3212"/>
      <c r="D56" s="186" t="e">
        <f ca="1">IF(H56="个人住宅",D57,D58)</f>
        <v>#REF!</v>
      </c>
      <c r="E56" s="11" t="s">
        <v>2227</v>
      </c>
      <c r="F56" s="185" t="str">
        <f>IF(H56="正常",F58,"免征")</f>
        <v>——</v>
      </c>
      <c r="G56" s="2488" t="s">
        <v>2228</v>
      </c>
      <c r="H56" s="2489" t="s">
        <v>2225</v>
      </c>
      <c r="I56" s="2490"/>
      <c r="J56" s="2970" t="str">
        <f>IF(项目基本情况!K6="上海银行",IF(J55="",4,J55+1),"")</f>
        <v/>
      </c>
      <c r="K56" s="3285" t="str">
        <f>IF(项目基本情况!K6="上海银行","其他处置费用","")</f>
        <v/>
      </c>
      <c r="L56" s="3286"/>
      <c r="M56" s="1756" t="str">
        <f>IF(项目基本情况!K6="上海银行",M69,"")</f>
        <v/>
      </c>
      <c r="N56" s="3288" t="str">
        <f>IF(项目基本情况!K6="上海银行","包含处置中涉及的律师、诉讼、拍卖、评估等费用","")</f>
        <v/>
      </c>
      <c r="O56" s="3289"/>
    </row>
    <row r="57" spans="1:35" ht="12.75">
      <c r="A57" s="184" t="s">
        <v>2201</v>
      </c>
      <c r="B57" s="3227" t="s">
        <v>2229</v>
      </c>
      <c r="C57" s="3236"/>
      <c r="D57" s="188">
        <v>0</v>
      </c>
      <c r="E57" s="23" t="s">
        <v>2203</v>
      </c>
      <c r="F57" s="156"/>
      <c r="G57" s="2486"/>
      <c r="H57" s="2490"/>
      <c r="I57" s="2490"/>
      <c r="J57" s="3262">
        <f>IF(AND(J55="",J56=""),4,IF(项目基本情况!K6="上海银行",'结果表-办公已租'!J56+1,'结果表-办公已租'!J55+1))</f>
        <v>4</v>
      </c>
      <c r="K57" s="3262" t="s">
        <v>2230</v>
      </c>
      <c r="L57" s="2491" t="s">
        <v>2231</v>
      </c>
      <c r="M57" s="1761"/>
      <c r="N57" s="1762">
        <f ca="1">SUMIF(M52:M56,"&lt;9e307")</f>
        <v>0</v>
      </c>
      <c r="O57" s="2492"/>
      <c r="P57" s="1755" t="e">
        <f ca="1">N57/M49</f>
        <v>#REF!</v>
      </c>
    </row>
    <row r="58" spans="1:35" ht="24.75">
      <c r="A58" s="184" t="s">
        <v>2212</v>
      </c>
      <c r="B58" s="3227" t="s">
        <v>2232</v>
      </c>
      <c r="C58" s="3228"/>
      <c r="D58" s="186" t="e">
        <f ca="1">IF(H58="转让取得",C81,C97)</f>
        <v>#REF!</v>
      </c>
      <c r="E58" s="11" t="s">
        <v>2227</v>
      </c>
      <c r="F58" s="24" t="s">
        <v>34</v>
      </c>
      <c r="G58" s="2486"/>
      <c r="H58" s="2489" t="s">
        <v>2233</v>
      </c>
      <c r="I58" s="2490"/>
      <c r="J58" s="3262"/>
      <c r="K58" s="3262"/>
      <c r="L58" s="2491" t="s">
        <v>2234</v>
      </c>
      <c r="M58" s="1763"/>
      <c r="N58" s="2493" t="str">
        <f ca="1">NUMBERSTRING(INT(N57*10000),2)&amp;"元整"</f>
        <v>零元整</v>
      </c>
      <c r="O58" s="2494"/>
    </row>
    <row r="59" spans="1:35" ht="24.75" thickBot="1">
      <c r="A59" s="3265" t="s">
        <v>2235</v>
      </c>
      <c r="B59" s="3266"/>
      <c r="C59" s="3266"/>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63">
        <f>J57+1</f>
        <v>5</v>
      </c>
      <c r="K59" s="3262" t="s">
        <v>2237</v>
      </c>
      <c r="L59" s="2970" t="s">
        <v>2231</v>
      </c>
      <c r="M59" s="1764"/>
      <c r="N59" s="1765" t="e">
        <f ca="1">M49-N57</f>
        <v>#REF!</v>
      </c>
      <c r="O59" s="2496"/>
    </row>
    <row r="60" spans="1:35" ht="12" customHeight="1">
      <c r="A60" s="2497"/>
      <c r="B60" s="2419"/>
      <c r="C60" s="2419"/>
      <c r="D60" s="2419"/>
      <c r="E60" s="2167"/>
      <c r="F60" s="2490"/>
      <c r="G60" s="2490"/>
      <c r="H60" s="2498"/>
      <c r="I60" s="138"/>
      <c r="J60" s="3264"/>
      <c r="K60" s="3262"/>
      <c r="L60" s="2491" t="s">
        <v>2234</v>
      </c>
      <c r="M60" s="1763"/>
      <c r="N60" s="2493" t="e">
        <f ca="1">NUMBERSTRING(INT(N59*10000),2)&amp;"元整"</f>
        <v>#REF!</v>
      </c>
      <c r="O60" s="2494"/>
    </row>
    <row r="61" spans="1:35" ht="13.5" thickBot="1">
      <c r="A61" s="3209" t="s">
        <v>2238</v>
      </c>
      <c r="B61" s="3209"/>
      <c r="C61" s="3209"/>
      <c r="D61" s="3209"/>
      <c r="E61" s="3209"/>
      <c r="F61" s="2490"/>
      <c r="G61" s="2490"/>
      <c r="H61" s="2498"/>
      <c r="I61" s="138"/>
      <c r="J61" s="2970">
        <f>J59+1</f>
        <v>6</v>
      </c>
      <c r="K61" s="3262" t="s">
        <v>2239</v>
      </c>
      <c r="L61" s="3262"/>
      <c r="M61" s="1766"/>
      <c r="N61" s="1767" t="e">
        <f ca="1">ROUND(N59*10000/'数据-汇总表'!E3,0)</f>
        <v>#REF!</v>
      </c>
      <c r="O61" s="2499"/>
    </row>
    <row r="62" spans="1:35" ht="12.75">
      <c r="A62" s="3225" t="s">
        <v>2240</v>
      </c>
      <c r="B62" s="3226"/>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87"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87"/>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87"/>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87"/>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87"/>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87"/>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87"/>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6" t="s">
        <v>2259</v>
      </c>
      <c r="B70" s="3247"/>
      <c r="C70" s="3247"/>
      <c r="D70" s="3247"/>
      <c r="E70" s="3247"/>
      <c r="F70" s="3247"/>
      <c r="G70" s="3247"/>
      <c r="H70" s="32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25" t="s">
        <v>2240</v>
      </c>
      <c r="B71" s="3226"/>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20" t="s">
        <v>2268</v>
      </c>
      <c r="F76" s="3197"/>
      <c r="G76" s="3197"/>
      <c r="H76" s="32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06" t="s">
        <v>2273</v>
      </c>
      <c r="F78" s="3207"/>
      <c r="G78" s="3207"/>
      <c r="H78" s="321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6" t="s">
        <v>2277</v>
      </c>
      <c r="B83" s="3247"/>
      <c r="C83" s="3247"/>
      <c r="D83" s="3247"/>
      <c r="E83" s="3247"/>
      <c r="F83" s="3247"/>
      <c r="G83" s="3247"/>
      <c r="H83" s="32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25" t="s">
        <v>2240</v>
      </c>
      <c r="B84" s="3226"/>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06" t="s">
        <v>2286</v>
      </c>
      <c r="F91" s="3207"/>
      <c r="G91" s="3207"/>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06" t="s">
        <v>2290</v>
      </c>
      <c r="F92" s="3207"/>
      <c r="G92" s="3207"/>
      <c r="H92" s="321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06" t="s">
        <v>2273</v>
      </c>
      <c r="F93" s="3207"/>
      <c r="G93" s="3207"/>
      <c r="H93" s="321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17" t="s">
        <v>2294</v>
      </c>
      <c r="F94" s="3218"/>
      <c r="G94" s="3218"/>
      <c r="H94" s="321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91" t="s">
        <v>2296</v>
      </c>
      <c r="B100" s="3192"/>
      <c r="C100" s="3192"/>
      <c r="D100" s="3208"/>
      <c r="E100" s="3192" t="s">
        <v>2297</v>
      </c>
      <c r="F100" s="3192"/>
      <c r="G100" s="3192"/>
      <c r="H100" s="3208"/>
      <c r="I100" s="138"/>
    </row>
    <row r="101" spans="1:35" ht="18.75" customHeight="1">
      <c r="A101" s="3270" t="s">
        <v>2298</v>
      </c>
      <c r="B101" s="3271"/>
      <c r="C101" s="737">
        <f>C4</f>
        <v>0</v>
      </c>
      <c r="D101" s="738">
        <f>D4</f>
        <v>0</v>
      </c>
      <c r="E101" s="3284" t="s">
        <v>2299</v>
      </c>
      <c r="F101" s="3238"/>
      <c r="G101" s="2521" t="s">
        <v>2300</v>
      </c>
      <c r="H101" s="1049" t="e">
        <f ca="1">H118</f>
        <v>#REF!</v>
      </c>
      <c r="I101" s="138"/>
    </row>
    <row r="102" spans="1:35" ht="18.75" customHeight="1">
      <c r="A102" s="3240" t="s">
        <v>2301</v>
      </c>
      <c r="B102" s="2521" t="s">
        <v>2300</v>
      </c>
      <c r="C102" s="737" t="e">
        <f ca="1">C19</f>
        <v>#REF!</v>
      </c>
      <c r="D102" s="738" t="e">
        <f ca="1">D19</f>
        <v>#REF!</v>
      </c>
      <c r="E102" s="3284"/>
      <c r="F102" s="3238"/>
      <c r="G102" s="2521" t="s">
        <v>2302</v>
      </c>
      <c r="H102" s="372" t="e">
        <f ca="1">I118</f>
        <v>#REF!</v>
      </c>
      <c r="I102" s="138"/>
    </row>
    <row r="103" spans="1:35" ht="42.75" customHeight="1">
      <c r="A103" s="3240"/>
      <c r="B103" s="2521" t="s">
        <v>2302</v>
      </c>
      <c r="C103" s="739" t="e">
        <f ca="1">C20</f>
        <v>#REF!</v>
      </c>
      <c r="D103" s="740" t="e">
        <f ca="1">D20</f>
        <v>#REF!</v>
      </c>
      <c r="E103" s="3279" t="s">
        <v>2303</v>
      </c>
      <c r="F103" s="3280"/>
      <c r="G103" s="2522" t="s">
        <v>2304</v>
      </c>
      <c r="H103" s="1049">
        <f>IF(D36="正常操作",H104+H105+H106,H105+H106)</f>
        <v>0</v>
      </c>
      <c r="I103" s="138"/>
    </row>
    <row r="104" spans="1:35" ht="18.75" customHeight="1">
      <c r="A104" s="3240"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41"/>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7" t="str">
        <f>IF(项目基本情况!E8="已注销","——","3.房地产抵押价值")</f>
        <v>3.房地产抵押价值</v>
      </c>
      <c r="F107" s="3238"/>
      <c r="G107" s="2521" t="s">
        <v>2300</v>
      </c>
      <c r="H107" s="1049" t="e">
        <f ca="1">IF(E107="——","——",H101-H103)</f>
        <v>#REF!</v>
      </c>
      <c r="I107" s="138"/>
    </row>
    <row r="108" spans="1:35" ht="18.75" customHeight="1">
      <c r="A108" s="138"/>
      <c r="B108" s="138"/>
      <c r="C108" s="138"/>
      <c r="D108" s="138"/>
      <c r="E108" s="3237"/>
      <c r="F108" s="3238"/>
      <c r="G108" s="2521" t="s">
        <v>2302</v>
      </c>
      <c r="H108" s="372" t="e">
        <f ca="1">ROUND(H107*10000/'数据-汇总表'!E3,0)</f>
        <v>#REF!</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521" t="s">
        <v>2300</v>
      </c>
      <c r="H109" s="349" t="str">
        <f>IF(E109="——","——",H101-H105-H106)</f>
        <v>——</v>
      </c>
      <c r="I109" s="138"/>
    </row>
    <row r="110" spans="1:35" ht="18.75" customHeight="1">
      <c r="A110" s="138"/>
      <c r="B110" s="138"/>
      <c r="C110" s="138"/>
      <c r="D110" s="138"/>
      <c r="E110" s="3237"/>
      <c r="F110" s="3238"/>
      <c r="G110" s="2521" t="s">
        <v>2302</v>
      </c>
      <c r="H110" s="372"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v>
      </c>
      <c r="F111" s="3273"/>
      <c r="G111" s="2521" t="s">
        <v>2300</v>
      </c>
      <c r="H111" s="1049" t="str">
        <f>IF(E111="——","——",N59)</f>
        <v>——</v>
      </c>
      <c r="I111" s="138"/>
    </row>
    <row r="112" spans="1:35" ht="18.75" customHeight="1" thickBot="1">
      <c r="A112" s="138"/>
      <c r="B112" s="138"/>
      <c r="C112" s="138"/>
      <c r="D112" s="138"/>
      <c r="E112" s="3274"/>
      <c r="F112" s="3275"/>
      <c r="G112" s="2526" t="s">
        <v>2302</v>
      </c>
      <c r="H112" s="791" t="str">
        <f>IF(E111="——","——",N61)</f>
        <v>——</v>
      </c>
      <c r="I112" s="138"/>
    </row>
    <row r="113" spans="1:11" ht="18.75" customHeight="1">
      <c r="A113" s="138"/>
      <c r="B113" s="138"/>
      <c r="C113" s="138"/>
      <c r="D113" s="138"/>
      <c r="E113" s="3242" t="s">
        <v>2308</v>
      </c>
      <c r="F113" s="3242"/>
      <c r="G113" s="3242"/>
      <c r="H113" s="3242"/>
      <c r="I113" s="138"/>
    </row>
    <row r="114" spans="1:11" ht="3.75" customHeight="1">
      <c r="A114" s="2419"/>
      <c r="B114" s="2419"/>
      <c r="C114" s="2419"/>
      <c r="D114" s="2419"/>
      <c r="E114" s="2497"/>
      <c r="F114" s="2497"/>
      <c r="G114" s="2497"/>
      <c r="H114" s="2497"/>
      <c r="I114" s="2419"/>
    </row>
    <row r="115" spans="1:11" ht="18.75" customHeight="1">
      <c r="A115" s="3255" t="s">
        <v>2310</v>
      </c>
      <c r="B115" s="3256"/>
      <c r="C115" s="3256"/>
      <c r="D115" s="3256"/>
      <c r="E115" s="3256"/>
      <c r="F115" s="3256"/>
      <c r="G115" s="3256"/>
      <c r="H115" s="3256"/>
      <c r="I115" s="3257"/>
    </row>
    <row r="116" spans="1:11" ht="27" customHeight="1">
      <c r="A116" s="3148" t="s">
        <v>2311</v>
      </c>
      <c r="B116" s="3243" t="s">
        <v>2312</v>
      </c>
      <c r="C116" s="3243" t="s">
        <v>2313</v>
      </c>
      <c r="D116" s="3259" t="s">
        <v>2314</v>
      </c>
      <c r="E116" s="3260"/>
      <c r="F116" s="3251" t="s">
        <v>2315</v>
      </c>
      <c r="G116" s="3251"/>
      <c r="H116" s="3148" t="s">
        <v>2316</v>
      </c>
      <c r="I116" s="3148"/>
    </row>
    <row r="117" spans="1:11" ht="18.75" customHeight="1">
      <c r="A117" s="3148"/>
      <c r="B117" s="3244"/>
      <c r="C117" s="3244"/>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48" t="s">
        <v>2320</v>
      </c>
      <c r="B119" s="3148"/>
      <c r="C119" s="3148"/>
      <c r="D119" s="3248" t="e">
        <f ca="1">NUMBERSTRING(INT(D118*10000),2)&amp;"元整"</f>
        <v>#REF!</v>
      </c>
      <c r="E119" s="3250"/>
      <c r="F119" s="3248" t="e">
        <f ca="1">NUMBERSTRING(INT(F118*10000),2)&amp;"元整"</f>
        <v>#REF!</v>
      </c>
      <c r="G119" s="3250"/>
      <c r="H119" s="3248" t="e">
        <f ca="1">NUMBERSTRING(INT(H118*10000),2)&amp;"元整"</f>
        <v>#REF!</v>
      </c>
      <c r="I119" s="3250"/>
    </row>
    <row r="120" spans="1:11" ht="18.75" customHeight="1">
      <c r="A120" s="3276" t="str">
        <f>IF(项目基本情况!B9="房地产市场价值","",MID(E103,3,LEN(E103)-2))</f>
        <v>估价师知悉的法定优先受偿款</v>
      </c>
      <c r="B120" s="3277"/>
      <c r="C120" s="3278"/>
      <c r="D120" s="3276">
        <f>H103</f>
        <v>0</v>
      </c>
      <c r="E120" s="3277"/>
      <c r="F120" s="3277"/>
      <c r="G120" s="3277"/>
      <c r="H120" s="3277"/>
      <c r="I120" s="3278"/>
      <c r="K120" s="2424" t="str">
        <f>IF(D120=0,"故，本次评估不存在"&amp;A120,"故，本次评估"&amp;A120&amp;"为人民币"&amp;D120&amp;"万元整。")</f>
        <v>故，本次评估不存在估价师知悉的法定优先受偿款</v>
      </c>
    </row>
    <row r="121" spans="1:11" ht="18.75" customHeight="1">
      <c r="A121" s="3252" t="s">
        <v>2320</v>
      </c>
      <c r="B121" s="3253"/>
      <c r="C121" s="3254"/>
      <c r="D121" s="3248" t="str">
        <f>IF(D120=0,"零元整",NUMBERSTRING(INT(D120*10000),2)&amp;"元整")</f>
        <v>零元整</v>
      </c>
      <c r="E121" s="3249"/>
      <c r="F121" s="3249"/>
      <c r="G121" s="3249"/>
      <c r="H121" s="3249"/>
      <c r="I121" s="3250"/>
    </row>
    <row r="122" spans="1:11" ht="18.75" customHeight="1">
      <c r="A122" s="3239" t="str">
        <f>IF(项目基本情况!B9="房地产市场价值","",MID(E107,3,LEN(E107)-2))</f>
        <v>房地产抵押价值</v>
      </c>
      <c r="B122" s="3239"/>
      <c r="C122" s="3239"/>
      <c r="D122" s="3276" t="e">
        <f ca="1">H107</f>
        <v>#REF!</v>
      </c>
      <c r="E122" s="3277"/>
      <c r="F122" s="3277"/>
      <c r="G122" s="3277"/>
      <c r="H122" s="3277"/>
      <c r="I122" s="3278"/>
    </row>
    <row r="123" spans="1:11" ht="18.75" customHeight="1">
      <c r="A123" s="3148" t="s">
        <v>2320</v>
      </c>
      <c r="B123" s="3148"/>
      <c r="C123" s="3148"/>
      <c r="D123" s="3248" t="e">
        <f ca="1">NUMBERSTRING(INT(D122*10000),2)&amp;"元整"</f>
        <v>#REF!</v>
      </c>
      <c r="E123" s="3249"/>
      <c r="F123" s="3249"/>
      <c r="G123" s="3249"/>
      <c r="H123" s="3249"/>
      <c r="I123" s="3250"/>
    </row>
    <row r="124" spans="1:11" ht="18.75" customHeight="1">
      <c r="A124" s="3239" t="str">
        <f>IF(项目基本情况!B9="房地产市场价值","",MID(E109,3,LEN(E109)-2))</f>
        <v/>
      </c>
      <c r="B124" s="3239"/>
      <c r="C124" s="3239"/>
      <c r="D124" s="3276" t="str">
        <f>H109</f>
        <v>——</v>
      </c>
      <c r="E124" s="3277"/>
      <c r="F124" s="3277"/>
      <c r="G124" s="3277"/>
      <c r="H124" s="3277"/>
      <c r="I124" s="3278"/>
    </row>
    <row r="125" spans="1:11" ht="18.75" customHeight="1">
      <c r="A125" s="3148" t="s">
        <v>2320</v>
      </c>
      <c r="B125" s="3148"/>
      <c r="C125" s="3148"/>
      <c r="D125" s="3248" t="e">
        <f>NUMBERSTRING(INT(D124*10000),2)&amp;"元整"</f>
        <v>#VALUE!</v>
      </c>
      <c r="E125" s="3249"/>
      <c r="F125" s="3249"/>
      <c r="G125" s="3249"/>
      <c r="H125" s="3249"/>
      <c r="I125" s="3250"/>
    </row>
    <row r="126" spans="1:11" ht="18.75" customHeight="1">
      <c r="A126" s="3239" t="str">
        <f>IF(项目基本情况!B9="房地产市场价值","",MID(E111,3,LEN(E111)-2))</f>
        <v/>
      </c>
      <c r="B126" s="3239"/>
      <c r="C126" s="3239"/>
      <c r="D126" s="3276" t="str">
        <f>H111</f>
        <v>——</v>
      </c>
      <c r="E126" s="3277"/>
      <c r="F126" s="3277"/>
      <c r="G126" s="3277"/>
      <c r="H126" s="3277"/>
      <c r="I126" s="3278"/>
    </row>
    <row r="127" spans="1:11" ht="18.75" customHeight="1">
      <c r="A127" s="3148" t="s">
        <v>2320</v>
      </c>
      <c r="B127" s="3148"/>
      <c r="C127" s="3148"/>
      <c r="D127" s="3248" t="e">
        <f>NUMBERSTRING(INT(D126*10000),2)&amp;"元整"</f>
        <v>#VALUE!</v>
      </c>
      <c r="E127" s="3249"/>
      <c r="F127" s="3249"/>
      <c r="G127" s="3249"/>
      <c r="H127" s="3249"/>
      <c r="I127" s="3250"/>
    </row>
    <row r="128" spans="1:11" ht="21.75" customHeight="1">
      <c r="A128" s="3258" t="s">
        <v>2321</v>
      </c>
      <c r="B128" s="3258"/>
      <c r="C128" s="3258"/>
      <c r="D128" s="3258"/>
      <c r="E128" s="3258"/>
      <c r="F128" s="3258"/>
      <c r="G128" s="3258"/>
      <c r="H128" s="3258"/>
      <c r="I128" s="3258"/>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L23" sqref="L2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30</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1" t="s">
        <v>2536</v>
      </c>
      <c r="D4" s="3332"/>
      <c r="E4" s="3333" t="s">
        <v>2537</v>
      </c>
      <c r="F4" s="3334"/>
      <c r="G4" s="3331" t="s">
        <v>2538</v>
      </c>
      <c r="H4" s="3332"/>
      <c r="I4" s="3331" t="s">
        <v>2539</v>
      </c>
      <c r="J4" s="3332"/>
      <c r="K4" s="611" t="s">
        <v>2540</v>
      </c>
      <c r="L4" s="1134"/>
      <c r="M4" s="1135"/>
      <c r="N4" s="1135"/>
      <c r="O4" s="1135"/>
      <c r="P4" s="3335" t="s">
        <v>2541</v>
      </c>
      <c r="Q4" s="3336"/>
      <c r="R4" s="3341" t="s">
        <v>2537</v>
      </c>
      <c r="S4" s="3342"/>
      <c r="T4" s="3341" t="s">
        <v>2538</v>
      </c>
      <c r="U4" s="3342"/>
      <c r="V4" s="3347" t="s">
        <v>2539</v>
      </c>
      <c r="W4" s="3347"/>
      <c r="X4" s="2982"/>
      <c r="Y4" s="3341" t="s">
        <v>2541</v>
      </c>
      <c r="Z4" s="3342"/>
      <c r="AA4" s="3359" t="s">
        <v>2537</v>
      </c>
      <c r="AB4" s="3359" t="s">
        <v>2538</v>
      </c>
      <c r="AC4" s="3328" t="s">
        <v>2539</v>
      </c>
    </row>
    <row r="5" spans="1:29" ht="15">
      <c r="A5" s="405"/>
      <c r="B5" s="406"/>
      <c r="C5" s="3364" t="s">
        <v>3229</v>
      </c>
      <c r="D5" s="3352"/>
      <c r="E5" s="3365" t="s">
        <v>3280</v>
      </c>
      <c r="F5" s="3363"/>
      <c r="G5" s="3364" t="s">
        <v>3230</v>
      </c>
      <c r="H5" s="3352"/>
      <c r="I5" s="3364" t="s">
        <v>3231</v>
      </c>
      <c r="J5" s="3352"/>
      <c r="K5" s="611"/>
      <c r="L5" s="1134"/>
      <c r="M5" s="1135"/>
      <c r="N5" s="1135"/>
      <c r="O5" s="1135"/>
      <c r="P5" s="3337"/>
      <c r="Q5" s="3338"/>
      <c r="R5" s="3343"/>
      <c r="S5" s="3344"/>
      <c r="T5" s="3343"/>
      <c r="U5" s="3344"/>
      <c r="V5" s="3348"/>
      <c r="W5" s="3348"/>
      <c r="X5" s="2981"/>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2981"/>
      <c r="Y6" s="3345"/>
      <c r="Z6" s="3346"/>
      <c r="AA6" s="3361"/>
      <c r="AB6" s="3361"/>
      <c r="AC6" s="3330"/>
    </row>
    <row r="7" spans="1:29" s="117" customFormat="1" ht="15.75" thickBot="1">
      <c r="A7" s="409" t="s">
        <v>2548</v>
      </c>
      <c r="B7" s="410"/>
      <c r="C7" s="411">
        <f>'数据-取费表'!B2</f>
        <v>43104</v>
      </c>
      <c r="D7" s="412">
        <v>100</v>
      </c>
      <c r="E7" s="413">
        <f>C7</f>
        <v>43104</v>
      </c>
      <c r="F7" s="414">
        <f>SUMIF(59:59,YEAR(E7)&amp;"-"&amp;MONTH(E7),60:60)</f>
        <v>100</v>
      </c>
      <c r="G7" s="413">
        <f>C7</f>
        <v>43104</v>
      </c>
      <c r="H7" s="412">
        <f>SUMIF(59:59,YEAR(G7)&amp;"-"&amp;MONTH(G7),60:60)</f>
        <v>100</v>
      </c>
      <c r="I7" s="413">
        <f>C7</f>
        <v>43104</v>
      </c>
      <c r="J7" s="412">
        <f>SUMIF(59:59,YEAR(I7)&amp;"-"&amp;MONTH(I7),60:60)</f>
        <v>100</v>
      </c>
      <c r="K7" s="612"/>
      <c r="L7" s="1136"/>
      <c r="M7" s="1137"/>
      <c r="N7" s="1137"/>
      <c r="O7" s="1137"/>
      <c r="P7" s="3353" t="s">
        <v>2549</v>
      </c>
      <c r="Q7" s="3356"/>
      <c r="R7" s="771" t="s">
        <v>17</v>
      </c>
      <c r="S7" s="772">
        <f t="shared" ref="S7:S15" si="0">F7</f>
        <v>100</v>
      </c>
      <c r="T7" s="771" t="s">
        <v>17</v>
      </c>
      <c r="U7" s="772">
        <f t="shared" ref="U7:U15" si="1">H7</f>
        <v>100</v>
      </c>
      <c r="V7" s="771" t="s">
        <v>17</v>
      </c>
      <c r="W7" s="772">
        <f t="shared" ref="W7:W15" si="2">J7</f>
        <v>100</v>
      </c>
      <c r="X7" s="773"/>
      <c r="Y7" s="3355" t="s">
        <v>2549</v>
      </c>
      <c r="Z7" s="3354"/>
      <c r="AA7" s="774">
        <f>D7/F7</f>
        <v>1</v>
      </c>
      <c r="AB7" s="774">
        <f>D7/H7</f>
        <v>1</v>
      </c>
      <c r="AC7" s="2674">
        <f>D7/J7</f>
        <v>1</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53" t="s">
        <v>2552</v>
      </c>
      <c r="Q8" s="3354"/>
      <c r="R8" s="771" t="s">
        <v>17</v>
      </c>
      <c r="S8" s="772">
        <f t="shared" si="0"/>
        <v>100</v>
      </c>
      <c r="T8" s="771" t="s">
        <v>17</v>
      </c>
      <c r="U8" s="772">
        <f t="shared" si="1"/>
        <v>100</v>
      </c>
      <c r="V8" s="771" t="s">
        <v>17</v>
      </c>
      <c r="W8" s="772">
        <f t="shared" si="2"/>
        <v>100</v>
      </c>
      <c r="X8" s="773"/>
      <c r="Y8" s="3355" t="s">
        <v>2552</v>
      </c>
      <c r="Z8" s="3354"/>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13" t="s">
        <v>2555</v>
      </c>
      <c r="Q9" s="2955" t="str">
        <f t="shared" ref="Q9:Q15" si="6">B9</f>
        <v>用途</v>
      </c>
      <c r="R9" s="771" t="s">
        <v>17</v>
      </c>
      <c r="S9" s="772">
        <f t="shared" si="0"/>
        <v>100</v>
      </c>
      <c r="T9" s="771" t="s">
        <v>17</v>
      </c>
      <c r="U9" s="772">
        <f t="shared" si="1"/>
        <v>100</v>
      </c>
      <c r="V9" s="771" t="s">
        <v>17</v>
      </c>
      <c r="W9" s="772">
        <f t="shared" si="2"/>
        <v>100</v>
      </c>
      <c r="X9" s="773"/>
      <c r="Y9" s="3148"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13"/>
      <c r="Q10" s="2955" t="str">
        <f t="shared" si="6"/>
        <v>土地使用年限（年）</v>
      </c>
      <c r="R10" s="771" t="s">
        <v>17</v>
      </c>
      <c r="S10" s="772">
        <f t="shared" si="0"/>
        <v>100</v>
      </c>
      <c r="T10" s="771" t="s">
        <v>17</v>
      </c>
      <c r="U10" s="772">
        <f t="shared" si="1"/>
        <v>100</v>
      </c>
      <c r="V10" s="771" t="s">
        <v>17</v>
      </c>
      <c r="W10" s="772">
        <f t="shared" si="2"/>
        <v>100</v>
      </c>
      <c r="X10" s="773"/>
      <c r="Y10" s="3148"/>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13"/>
      <c r="Q11" s="2955" t="str">
        <f t="shared" si="6"/>
        <v>容积率</v>
      </c>
      <c r="R11" s="771" t="s">
        <v>17</v>
      </c>
      <c r="S11" s="772">
        <f t="shared" si="0"/>
        <v>100</v>
      </c>
      <c r="T11" s="771" t="s">
        <v>17</v>
      </c>
      <c r="U11" s="772">
        <f t="shared" si="1"/>
        <v>100</v>
      </c>
      <c r="V11" s="771" t="s">
        <v>17</v>
      </c>
      <c r="W11" s="772">
        <f t="shared" si="2"/>
        <v>100</v>
      </c>
      <c r="X11" s="773"/>
      <c r="Y11" s="3148"/>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2955">
        <f t="shared" si="6"/>
        <v>0</v>
      </c>
      <c r="R12" s="771" t="s">
        <v>17</v>
      </c>
      <c r="S12" s="772">
        <f t="shared" si="0"/>
        <v>100</v>
      </c>
      <c r="T12" s="771" t="s">
        <v>17</v>
      </c>
      <c r="U12" s="772">
        <f t="shared" si="1"/>
        <v>100</v>
      </c>
      <c r="V12" s="771" t="s">
        <v>17</v>
      </c>
      <c r="W12" s="772">
        <f t="shared" si="2"/>
        <v>100</v>
      </c>
      <c r="X12" s="773"/>
      <c r="Y12" s="3148"/>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2955">
        <f t="shared" si="6"/>
        <v>0</v>
      </c>
      <c r="R13" s="771" t="s">
        <v>17</v>
      </c>
      <c r="S13" s="772">
        <f t="shared" si="0"/>
        <v>100</v>
      </c>
      <c r="T13" s="771" t="s">
        <v>17</v>
      </c>
      <c r="U13" s="772">
        <f t="shared" si="1"/>
        <v>100</v>
      </c>
      <c r="V13" s="771" t="s">
        <v>17</v>
      </c>
      <c r="W13" s="772">
        <f t="shared" si="2"/>
        <v>100</v>
      </c>
      <c r="X13" s="773"/>
      <c r="Y13" s="3148"/>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2955">
        <f t="shared" si="6"/>
        <v>0</v>
      </c>
      <c r="R14" s="771" t="s">
        <v>17</v>
      </c>
      <c r="S14" s="772">
        <f t="shared" si="0"/>
        <v>100</v>
      </c>
      <c r="T14" s="771" t="s">
        <v>17</v>
      </c>
      <c r="U14" s="772">
        <f t="shared" si="1"/>
        <v>100</v>
      </c>
      <c r="V14" s="771" t="s">
        <v>17</v>
      </c>
      <c r="W14" s="772">
        <f t="shared" si="2"/>
        <v>100</v>
      </c>
      <c r="X14" s="773"/>
      <c r="Y14" s="3148"/>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9" t="s">
        <v>2560</v>
      </c>
      <c r="Q15" s="2977" t="str">
        <f t="shared" si="6"/>
        <v>办公集聚程度</v>
      </c>
      <c r="R15" s="775" t="s">
        <v>17</v>
      </c>
      <c r="S15" s="776">
        <f t="shared" si="0"/>
        <v>100</v>
      </c>
      <c r="T15" s="775" t="s">
        <v>17</v>
      </c>
      <c r="U15" s="776">
        <f t="shared" si="1"/>
        <v>100</v>
      </c>
      <c r="V15" s="775" t="s">
        <v>17</v>
      </c>
      <c r="W15" s="776">
        <f t="shared" si="2"/>
        <v>100</v>
      </c>
      <c r="X15" s="2981"/>
      <c r="Y15" s="3321"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20"/>
      <c r="Q16" s="2977"/>
      <c r="R16" s="775"/>
      <c r="S16" s="776"/>
      <c r="T16" s="775"/>
      <c r="U16" s="776"/>
      <c r="V16" s="775"/>
      <c r="W16" s="776"/>
      <c r="X16" s="2981"/>
      <c r="Y16" s="3322"/>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20"/>
      <c r="Q17" s="2977" t="str">
        <f>B17</f>
        <v>交通便捷度</v>
      </c>
      <c r="R17" s="775" t="s">
        <v>17</v>
      </c>
      <c r="S17" s="776">
        <f>F17</f>
        <v>100</v>
      </c>
      <c r="T17" s="775" t="s">
        <v>17</v>
      </c>
      <c r="U17" s="776">
        <f>H17</f>
        <v>100</v>
      </c>
      <c r="V17" s="775" t="s">
        <v>17</v>
      </c>
      <c r="W17" s="776">
        <f>J17</f>
        <v>100</v>
      </c>
      <c r="X17" s="2981"/>
      <c r="Y17" s="3322"/>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20"/>
      <c r="Q18" s="2977"/>
      <c r="R18" s="775"/>
      <c r="S18" s="776"/>
      <c r="T18" s="775"/>
      <c r="U18" s="776"/>
      <c r="V18" s="775"/>
      <c r="W18" s="776"/>
      <c r="X18" s="2981"/>
      <c r="Y18" s="3322"/>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20"/>
      <c r="Q19" s="2977" t="str">
        <f>B19</f>
        <v>公共配套设施</v>
      </c>
      <c r="R19" s="775" t="s">
        <v>17</v>
      </c>
      <c r="S19" s="776">
        <f>F19</f>
        <v>100</v>
      </c>
      <c r="T19" s="775" t="s">
        <v>17</v>
      </c>
      <c r="U19" s="776">
        <f>H19</f>
        <v>100</v>
      </c>
      <c r="V19" s="775" t="s">
        <v>17</v>
      </c>
      <c r="W19" s="776">
        <f>J19</f>
        <v>100</v>
      </c>
      <c r="X19" s="2981"/>
      <c r="Y19" s="3322"/>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20"/>
      <c r="Q20" s="2977"/>
      <c r="R20" s="775"/>
      <c r="S20" s="776"/>
      <c r="T20" s="775"/>
      <c r="U20" s="776"/>
      <c r="V20" s="775"/>
      <c r="W20" s="776"/>
      <c r="X20" s="2981"/>
      <c r="Y20" s="3322"/>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20"/>
      <c r="Q21" s="2977" t="str">
        <f>B21</f>
        <v>基础设施水平</v>
      </c>
      <c r="R21" s="775" t="s">
        <v>17</v>
      </c>
      <c r="S21" s="776">
        <f>F21</f>
        <v>100</v>
      </c>
      <c r="T21" s="775" t="s">
        <v>17</v>
      </c>
      <c r="U21" s="776">
        <f>H21</f>
        <v>100</v>
      </c>
      <c r="V21" s="775" t="s">
        <v>17</v>
      </c>
      <c r="W21" s="776">
        <f>J21</f>
        <v>100</v>
      </c>
      <c r="X21" s="2981"/>
      <c r="Y21" s="3322"/>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20"/>
      <c r="Q22" s="2977"/>
      <c r="R22" s="775"/>
      <c r="S22" s="776"/>
      <c r="T22" s="775"/>
      <c r="U22" s="776"/>
      <c r="V22" s="775"/>
      <c r="W22" s="776"/>
      <c r="X22" s="2981"/>
      <c r="Y22" s="3322"/>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20"/>
      <c r="Q23" s="2977" t="str">
        <f>B23</f>
        <v>环境质量</v>
      </c>
      <c r="R23" s="775" t="s">
        <v>17</v>
      </c>
      <c r="S23" s="776">
        <f>F23</f>
        <v>100</v>
      </c>
      <c r="T23" s="775" t="s">
        <v>17</v>
      </c>
      <c r="U23" s="776">
        <f>H23</f>
        <v>100</v>
      </c>
      <c r="V23" s="775" t="s">
        <v>17</v>
      </c>
      <c r="W23" s="776">
        <f>J23</f>
        <v>100</v>
      </c>
      <c r="X23" s="2981"/>
      <c r="Y23" s="3322"/>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20"/>
      <c r="Q24" s="2977"/>
      <c r="R24" s="775"/>
      <c r="S24" s="776"/>
      <c r="T24" s="775"/>
      <c r="U24" s="776"/>
      <c r="V24" s="775"/>
      <c r="W24" s="776"/>
      <c r="X24" s="2981"/>
      <c r="Y24" s="3322"/>
      <c r="Z24" s="2980"/>
      <c r="AA24" s="2978">
        <v>1</v>
      </c>
      <c r="AB24" s="2978">
        <v>1</v>
      </c>
      <c r="AC24" s="2677">
        <v>1</v>
      </c>
    </row>
    <row r="25" spans="1:29" ht="27.75">
      <c r="A25" s="405"/>
      <c r="B25" s="632" t="s">
        <v>2691</v>
      </c>
      <c r="C25" s="2618" t="s">
        <v>3284</v>
      </c>
      <c r="D25" s="436">
        <v>100</v>
      </c>
      <c r="E25" s="435" t="s">
        <v>3285</v>
      </c>
      <c r="F25" s="436">
        <f>SUMIF(87:87,E26,88:88)-SUMIF(87:87,C26,88:88)+100</f>
        <v>100</v>
      </c>
      <c r="G25" s="2618" t="s">
        <v>3286</v>
      </c>
      <c r="H25" s="436">
        <f>SUMIF(87:87,G26,88:88)-SUMIF(87:87,C26,88:88)+100</f>
        <v>100</v>
      </c>
      <c r="I25" s="3009" t="s">
        <v>3287</v>
      </c>
      <c r="J25" s="436">
        <f>SUMIF(87:87,I26,88:88)-SUMIF(87:87,C26,88:88)+100</f>
        <v>94</v>
      </c>
      <c r="K25" s="615">
        <v>2</v>
      </c>
      <c r="L25" s="1144"/>
      <c r="M25" s="1135"/>
      <c r="N25" s="1135"/>
      <c r="O25" s="1135"/>
      <c r="P25" s="3320"/>
      <c r="Q25" s="2977" t="str">
        <f>B25</f>
        <v>毗邻道路的类型与等级</v>
      </c>
      <c r="R25" s="775" t="s">
        <v>17</v>
      </c>
      <c r="S25" s="776">
        <f>F25</f>
        <v>100</v>
      </c>
      <c r="T25" s="775" t="s">
        <v>17</v>
      </c>
      <c r="U25" s="776">
        <f>H25</f>
        <v>100</v>
      </c>
      <c r="V25" s="775" t="s">
        <v>17</v>
      </c>
      <c r="W25" s="776">
        <f>J25</f>
        <v>94</v>
      </c>
      <c r="X25" s="2981"/>
      <c r="Y25" s="3322"/>
      <c r="Z25" s="2980" t="str">
        <f>Q25</f>
        <v>毗邻道路的类型与等级</v>
      </c>
      <c r="AA25" s="2978">
        <f t="shared" si="3"/>
        <v>1</v>
      </c>
      <c r="AB25" s="2978">
        <f t="shared" si="4"/>
        <v>1</v>
      </c>
      <c r="AC25" s="2677">
        <f t="shared" si="5"/>
        <v>1.0638297872340425</v>
      </c>
    </row>
    <row r="26" spans="1:29" ht="15">
      <c r="A26" s="405"/>
      <c r="B26" s="633"/>
      <c r="C26" s="635" t="s">
        <v>3233</v>
      </c>
      <c r="D26" s="436"/>
      <c r="E26" s="617" t="s">
        <v>3233</v>
      </c>
      <c r="F26" s="436"/>
      <c r="G26" s="635" t="s">
        <v>3233</v>
      </c>
      <c r="H26" s="436"/>
      <c r="I26" s="617" t="s">
        <v>3237</v>
      </c>
      <c r="J26" s="436"/>
      <c r="K26" s="616"/>
      <c r="L26" s="1144"/>
      <c r="M26" s="1135"/>
      <c r="N26" s="1135"/>
      <c r="O26" s="1135"/>
      <c r="P26" s="3320"/>
      <c r="Q26" s="2977"/>
      <c r="R26" s="775"/>
      <c r="S26" s="776"/>
      <c r="T26" s="775"/>
      <c r="U26" s="776"/>
      <c r="V26" s="775"/>
      <c r="W26" s="776"/>
      <c r="X26" s="2981"/>
      <c r="Y26" s="3322"/>
      <c r="Z26" s="2980"/>
      <c r="AA26" s="2978">
        <v>1</v>
      </c>
      <c r="AB26" s="2978">
        <v>1</v>
      </c>
      <c r="AC26" s="2677">
        <v>1</v>
      </c>
    </row>
    <row r="27" spans="1:29" ht="15">
      <c r="A27" s="429"/>
      <c r="B27" s="633" t="s">
        <v>2659</v>
      </c>
      <c r="C27" s="635" t="s">
        <v>3239</v>
      </c>
      <c r="D27" s="436">
        <v>100</v>
      </c>
      <c r="E27" s="617" t="s">
        <v>3241</v>
      </c>
      <c r="F27" s="436">
        <f>SUMIF(89:89,E27,90:90)-SUMIF(89:89,C27,90:90)+100</f>
        <v>95</v>
      </c>
      <c r="G27" s="635" t="s">
        <v>3243</v>
      </c>
      <c r="H27" s="436">
        <f>SUMIF(89:89,G27,90:90)-SUMIF(89:89,C27,90:90)+100</f>
        <v>90</v>
      </c>
      <c r="I27" s="617" t="s">
        <v>3239</v>
      </c>
      <c r="J27" s="436">
        <f>SUMIF(89:89,I27,90:90)-SUMIF(89:89,C27,90:90)+100</f>
        <v>100</v>
      </c>
      <c r="K27" s="613">
        <v>5</v>
      </c>
      <c r="L27" s="1144"/>
      <c r="M27" s="1135"/>
      <c r="N27" s="1135"/>
      <c r="O27" s="1135"/>
      <c r="P27" s="3320"/>
      <c r="Q27" s="2977" t="str">
        <f t="shared" ref="Q27:Q47" si="11">B27</f>
        <v>楼层</v>
      </c>
      <c r="R27" s="775" t="s">
        <v>17</v>
      </c>
      <c r="S27" s="776">
        <f>F27</f>
        <v>95</v>
      </c>
      <c r="T27" s="775" t="s">
        <v>17</v>
      </c>
      <c r="U27" s="776">
        <f>H27</f>
        <v>90</v>
      </c>
      <c r="V27" s="775" t="s">
        <v>17</v>
      </c>
      <c r="W27" s="776">
        <f>J27</f>
        <v>100</v>
      </c>
      <c r="X27" s="2981"/>
      <c r="Y27" s="3322"/>
      <c r="Z27" s="2980" t="str">
        <f>Q27</f>
        <v>楼层</v>
      </c>
      <c r="AA27" s="2978">
        <f t="shared" si="3"/>
        <v>1.0526315789473684</v>
      </c>
      <c r="AB27" s="2978">
        <f t="shared" si="4"/>
        <v>1.1111111111111112</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20"/>
      <c r="Q28" s="2955" t="str">
        <f t="shared" si="11"/>
        <v>朝向</v>
      </c>
      <c r="R28" s="771" t="s">
        <v>17</v>
      </c>
      <c r="S28" s="772">
        <f>F28</f>
        <v>100</v>
      </c>
      <c r="T28" s="771" t="s">
        <v>17</v>
      </c>
      <c r="U28" s="772">
        <f>H28</f>
        <v>100</v>
      </c>
      <c r="V28" s="771" t="s">
        <v>17</v>
      </c>
      <c r="W28" s="772">
        <f>J28</f>
        <v>100</v>
      </c>
      <c r="X28" s="773"/>
      <c r="Y28" s="3322"/>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2977">
        <f t="shared" si="11"/>
        <v>111</v>
      </c>
      <c r="R29" s="775" t="s">
        <v>17</v>
      </c>
      <c r="S29" s="776">
        <f t="shared" ref="S29:S47" si="12">F29</f>
        <v>100</v>
      </c>
      <c r="T29" s="775" t="s">
        <v>17</v>
      </c>
      <c r="U29" s="776">
        <f t="shared" ref="U29:U47" si="13">H29</f>
        <v>100</v>
      </c>
      <c r="V29" s="775" t="s">
        <v>17</v>
      </c>
      <c r="W29" s="776">
        <f t="shared" ref="W29:W47" si="14">J29</f>
        <v>100</v>
      </c>
      <c r="X29" s="2981"/>
      <c r="Y29" s="3322"/>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2977">
        <f t="shared" si="11"/>
        <v>111</v>
      </c>
      <c r="R30" s="775" t="s">
        <v>17</v>
      </c>
      <c r="S30" s="776">
        <f t="shared" si="12"/>
        <v>100</v>
      </c>
      <c r="T30" s="775" t="s">
        <v>17</v>
      </c>
      <c r="U30" s="776">
        <f t="shared" si="13"/>
        <v>100</v>
      </c>
      <c r="V30" s="775" t="s">
        <v>17</v>
      </c>
      <c r="W30" s="776">
        <f t="shared" si="14"/>
        <v>100</v>
      </c>
      <c r="X30" s="2981"/>
      <c r="Y30" s="3322"/>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2977">
        <f t="shared" si="11"/>
        <v>111</v>
      </c>
      <c r="R31" s="775" t="s">
        <v>17</v>
      </c>
      <c r="S31" s="776">
        <f t="shared" si="12"/>
        <v>100</v>
      </c>
      <c r="T31" s="775" t="s">
        <v>17</v>
      </c>
      <c r="U31" s="776">
        <f t="shared" si="13"/>
        <v>100</v>
      </c>
      <c r="V31" s="775" t="s">
        <v>17</v>
      </c>
      <c r="W31" s="776">
        <f t="shared" si="14"/>
        <v>100</v>
      </c>
      <c r="X31" s="2981"/>
      <c r="Y31" s="3322"/>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2977">
        <f t="shared" si="11"/>
        <v>111</v>
      </c>
      <c r="R32" s="775" t="s">
        <v>17</v>
      </c>
      <c r="S32" s="776">
        <f t="shared" si="12"/>
        <v>100</v>
      </c>
      <c r="T32" s="775" t="s">
        <v>17</v>
      </c>
      <c r="U32" s="776">
        <f t="shared" si="13"/>
        <v>100</v>
      </c>
      <c r="V32" s="775" t="s">
        <v>17</v>
      </c>
      <c r="W32" s="776">
        <f t="shared" si="14"/>
        <v>100</v>
      </c>
      <c r="X32" s="2981"/>
      <c r="Y32" s="3322"/>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23" t="s">
        <v>2565</v>
      </c>
      <c r="Q33" s="2977" t="str">
        <f t="shared" si="11"/>
        <v>建筑类型</v>
      </c>
      <c r="R33" s="775" t="s">
        <v>17</v>
      </c>
      <c r="S33" s="776">
        <f t="shared" si="12"/>
        <v>100</v>
      </c>
      <c r="T33" s="775" t="s">
        <v>17</v>
      </c>
      <c r="U33" s="776">
        <f t="shared" si="13"/>
        <v>100</v>
      </c>
      <c r="V33" s="775" t="s">
        <v>17</v>
      </c>
      <c r="W33" s="776">
        <f t="shared" si="14"/>
        <v>100</v>
      </c>
      <c r="X33" s="2981"/>
      <c r="Y33" s="3326"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96</v>
      </c>
      <c r="G34" s="3013">
        <v>450</v>
      </c>
      <c r="H34" s="136">
        <f>LOOKUP(G34,104:104,105:105)-LOOKUP(C34,104:104,105:105)+100</f>
        <v>104</v>
      </c>
      <c r="I34" s="430">
        <v>350</v>
      </c>
      <c r="J34" s="136">
        <f>LOOKUP(I34,104:104,105:105)-LOOKUP(C34,104:104,105:105)+100</f>
        <v>102</v>
      </c>
      <c r="K34" s="614"/>
      <c r="L34" s="1142"/>
      <c r="M34" s="1145"/>
      <c r="N34" s="1145"/>
      <c r="O34" s="1145"/>
      <c r="P34" s="3324"/>
      <c r="Q34" s="777" t="str">
        <f t="shared" si="11"/>
        <v>项目建筑规模</v>
      </c>
      <c r="R34" s="778" t="s">
        <v>17</v>
      </c>
      <c r="S34" s="779">
        <f t="shared" si="12"/>
        <v>96</v>
      </c>
      <c r="T34" s="778" t="s">
        <v>17</v>
      </c>
      <c r="U34" s="779">
        <f t="shared" si="13"/>
        <v>104</v>
      </c>
      <c r="V34" s="778" t="s">
        <v>17</v>
      </c>
      <c r="W34" s="779">
        <f t="shared" si="14"/>
        <v>102</v>
      </c>
      <c r="X34" s="780"/>
      <c r="Y34" s="3326"/>
      <c r="Z34" s="781" t="str">
        <f t="shared" si="15"/>
        <v>项目建筑规模</v>
      </c>
      <c r="AA34" s="2978">
        <f t="shared" si="3"/>
        <v>1.0416666666666667</v>
      </c>
      <c r="AB34" s="2978">
        <f t="shared" si="4"/>
        <v>0.96153846153846156</v>
      </c>
      <c r="AC34" s="2677">
        <f t="shared" si="5"/>
        <v>0.98039215686274506</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24"/>
      <c r="Q35" s="2977" t="str">
        <f t="shared" si="11"/>
        <v>建筑结构</v>
      </c>
      <c r="R35" s="775" t="s">
        <v>17</v>
      </c>
      <c r="S35" s="776">
        <f t="shared" si="12"/>
        <v>100</v>
      </c>
      <c r="T35" s="775" t="s">
        <v>17</v>
      </c>
      <c r="U35" s="776">
        <f t="shared" si="13"/>
        <v>100</v>
      </c>
      <c r="V35" s="775" t="s">
        <v>17</v>
      </c>
      <c r="W35" s="776">
        <f t="shared" si="14"/>
        <v>100</v>
      </c>
      <c r="X35" s="2981"/>
      <c r="Y35" s="3326"/>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24"/>
      <c r="Q36" s="2977" t="str">
        <f t="shared" si="11"/>
        <v>公共部分装修</v>
      </c>
      <c r="R36" s="775" t="s">
        <v>17</v>
      </c>
      <c r="S36" s="776">
        <f t="shared" si="12"/>
        <v>100</v>
      </c>
      <c r="T36" s="775" t="s">
        <v>17</v>
      </c>
      <c r="U36" s="776">
        <f t="shared" si="13"/>
        <v>100</v>
      </c>
      <c r="V36" s="775" t="s">
        <v>17</v>
      </c>
      <c r="W36" s="776">
        <f t="shared" si="14"/>
        <v>100</v>
      </c>
      <c r="X36" s="2981"/>
      <c r="Y36" s="3326"/>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14">
        <f>ROUND(1-(2018-2004)/60,2)</f>
        <v>0.77</v>
      </c>
      <c r="H37" s="462">
        <f>LOOKUP(G37,111:111,112:112)-LOOKUP(C37,111:111,112:112)+100</f>
        <v>98</v>
      </c>
      <c r="I37" s="475">
        <v>0.82</v>
      </c>
      <c r="J37" s="436">
        <f>LOOKUP(I37,111:111,112:112)-LOOKUP(C37,111:111,112:112)+100</f>
        <v>100</v>
      </c>
      <c r="K37" s="613">
        <v>2</v>
      </c>
      <c r="L37" s="1144"/>
      <c r="M37" s="1135"/>
      <c r="N37" s="1135"/>
      <c r="O37" s="1135"/>
      <c r="P37" s="3324"/>
      <c r="Q37" s="2977" t="str">
        <f t="shared" si="11"/>
        <v>成新度</v>
      </c>
      <c r="R37" s="775" t="s">
        <v>17</v>
      </c>
      <c r="S37" s="776">
        <f t="shared" si="12"/>
        <v>98</v>
      </c>
      <c r="T37" s="775" t="s">
        <v>17</v>
      </c>
      <c r="U37" s="776">
        <f t="shared" si="13"/>
        <v>98</v>
      </c>
      <c r="V37" s="775" t="s">
        <v>17</v>
      </c>
      <c r="W37" s="776">
        <f t="shared" si="14"/>
        <v>100</v>
      </c>
      <c r="X37" s="2981"/>
      <c r="Y37" s="3326"/>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24"/>
      <c r="Q38" s="2955" t="str">
        <f t="shared" si="11"/>
        <v>写字楼等级</v>
      </c>
      <c r="R38" s="771" t="s">
        <v>17</v>
      </c>
      <c r="S38" s="772">
        <f t="shared" si="12"/>
        <v>95</v>
      </c>
      <c r="T38" s="771" t="s">
        <v>17</v>
      </c>
      <c r="U38" s="772">
        <f t="shared" si="13"/>
        <v>95</v>
      </c>
      <c r="V38" s="771" t="s">
        <v>17</v>
      </c>
      <c r="W38" s="772">
        <f t="shared" si="14"/>
        <v>95</v>
      </c>
      <c r="X38" s="773"/>
      <c r="Y38" s="3326"/>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24" t="s">
        <v>2565</v>
      </c>
      <c r="Q39" s="2977" t="str">
        <f t="shared" si="11"/>
        <v>物业管理</v>
      </c>
      <c r="R39" s="775" t="s">
        <v>17</v>
      </c>
      <c r="S39" s="776">
        <f t="shared" si="12"/>
        <v>100</v>
      </c>
      <c r="T39" s="775" t="s">
        <v>17</v>
      </c>
      <c r="U39" s="776">
        <f t="shared" si="13"/>
        <v>100</v>
      </c>
      <c r="V39" s="775" t="s">
        <v>17</v>
      </c>
      <c r="W39" s="776">
        <f t="shared" si="14"/>
        <v>100</v>
      </c>
      <c r="X39" s="2981"/>
      <c r="Y39" s="3326"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24"/>
      <c r="Q40" s="2977" t="str">
        <f t="shared" si="11"/>
        <v>市政基础设施</v>
      </c>
      <c r="R40" s="775" t="s">
        <v>17</v>
      </c>
      <c r="S40" s="776">
        <f t="shared" si="12"/>
        <v>100</v>
      </c>
      <c r="T40" s="775" t="s">
        <v>17</v>
      </c>
      <c r="U40" s="776">
        <f t="shared" si="13"/>
        <v>100</v>
      </c>
      <c r="V40" s="775" t="s">
        <v>17</v>
      </c>
      <c r="W40" s="776">
        <f t="shared" si="14"/>
        <v>100</v>
      </c>
      <c r="X40" s="2981"/>
      <c r="Y40" s="3326"/>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24"/>
      <c r="Q41" s="2977" t="str">
        <f t="shared" si="11"/>
        <v>层高</v>
      </c>
      <c r="R41" s="775" t="s">
        <v>17</v>
      </c>
      <c r="S41" s="776">
        <f t="shared" si="12"/>
        <v>100</v>
      </c>
      <c r="T41" s="775" t="s">
        <v>17</v>
      </c>
      <c r="U41" s="776">
        <f t="shared" si="13"/>
        <v>100</v>
      </c>
      <c r="V41" s="775" t="s">
        <v>17</v>
      </c>
      <c r="W41" s="776">
        <f t="shared" si="14"/>
        <v>100</v>
      </c>
      <c r="X41" s="2981"/>
      <c r="Y41" s="3326"/>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24"/>
      <c r="Q43" s="2977" t="str">
        <f t="shared" si="11"/>
        <v>内部装修</v>
      </c>
      <c r="R43" s="775" t="s">
        <v>17</v>
      </c>
      <c r="S43" s="776">
        <f t="shared" si="12"/>
        <v>100</v>
      </c>
      <c r="T43" s="775" t="s">
        <v>17</v>
      </c>
      <c r="U43" s="776">
        <f t="shared" si="13"/>
        <v>100</v>
      </c>
      <c r="V43" s="775" t="s">
        <v>17</v>
      </c>
      <c r="W43" s="776">
        <f t="shared" si="14"/>
        <v>100</v>
      </c>
      <c r="X43" s="2981"/>
      <c r="Y43" s="3326"/>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24"/>
      <c r="Q44" s="2977" t="str">
        <f t="shared" si="11"/>
        <v>内部装修维护情况</v>
      </c>
      <c r="R44" s="775" t="s">
        <v>17</v>
      </c>
      <c r="S44" s="776">
        <f t="shared" si="12"/>
        <v>100</v>
      </c>
      <c r="T44" s="775" t="s">
        <v>17</v>
      </c>
      <c r="U44" s="776">
        <f t="shared" si="13"/>
        <v>100</v>
      </c>
      <c r="V44" s="775" t="s">
        <v>17</v>
      </c>
      <c r="W44" s="776">
        <f t="shared" si="14"/>
        <v>100</v>
      </c>
      <c r="X44" s="2981"/>
      <c r="Y44" s="3326"/>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2955">
        <f t="shared" si="11"/>
        <v>0</v>
      </c>
      <c r="R45" s="771" t="s">
        <v>17</v>
      </c>
      <c r="S45" s="772">
        <f t="shared" si="12"/>
        <v>100</v>
      </c>
      <c r="T45" s="771" t="s">
        <v>17</v>
      </c>
      <c r="U45" s="772">
        <f t="shared" si="13"/>
        <v>100</v>
      </c>
      <c r="V45" s="771" t="s">
        <v>17</v>
      </c>
      <c r="W45" s="772">
        <f t="shared" si="14"/>
        <v>100</v>
      </c>
      <c r="X45" s="773"/>
      <c r="Y45" s="3326"/>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2977">
        <f t="shared" si="11"/>
        <v>0</v>
      </c>
      <c r="R46" s="775" t="s">
        <v>17</v>
      </c>
      <c r="S46" s="776">
        <f t="shared" si="12"/>
        <v>100</v>
      </c>
      <c r="T46" s="775" t="s">
        <v>17</v>
      </c>
      <c r="U46" s="776">
        <f t="shared" si="13"/>
        <v>100</v>
      </c>
      <c r="V46" s="775" t="s">
        <v>17</v>
      </c>
      <c r="W46" s="776">
        <f t="shared" si="14"/>
        <v>100</v>
      </c>
      <c r="X46" s="2981"/>
      <c r="Y46" s="3326"/>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2977">
        <f t="shared" si="11"/>
        <v>0</v>
      </c>
      <c r="R47" s="775" t="s">
        <v>17</v>
      </c>
      <c r="S47" s="776">
        <f t="shared" si="12"/>
        <v>100</v>
      </c>
      <c r="T47" s="775" t="s">
        <v>17</v>
      </c>
      <c r="U47" s="776">
        <f t="shared" si="13"/>
        <v>100</v>
      </c>
      <c r="V47" s="775" t="s">
        <v>17</v>
      </c>
      <c r="W47" s="776">
        <f t="shared" si="14"/>
        <v>100</v>
      </c>
      <c r="X47" s="2981"/>
      <c r="Y47" s="3327"/>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v>
      </c>
      <c r="H48" s="1416"/>
      <c r="I48" s="1413">
        <v>8</v>
      </c>
      <c r="J48" s="486"/>
      <c r="K48" s="784"/>
      <c r="L48" s="1147"/>
      <c r="M48" s="1135"/>
      <c r="N48" s="1135"/>
      <c r="O48" s="1135"/>
      <c r="P48" s="3313" t="str">
        <f>A48</f>
        <v>成交单价（元/平方米）</v>
      </c>
      <c r="Q48" s="3314"/>
      <c r="R48" s="3315">
        <f>E48</f>
        <v>7</v>
      </c>
      <c r="S48" s="3315"/>
      <c r="T48" s="3315">
        <f>G48</f>
        <v>7</v>
      </c>
      <c r="U48" s="3315"/>
      <c r="V48" s="3315">
        <f>I48</f>
        <v>8</v>
      </c>
      <c r="W48" s="3315"/>
      <c r="X48" s="447"/>
      <c r="Y48" s="782"/>
      <c r="Z48" s="447"/>
      <c r="AA48" s="447"/>
      <c r="AB48" s="447"/>
      <c r="AC48" s="631"/>
    </row>
    <row r="49" spans="1:29" ht="15.75" thickBot="1">
      <c r="A49" s="487" t="s">
        <v>2578</v>
      </c>
      <c r="B49" s="488"/>
      <c r="C49" s="1417">
        <f>R50</f>
        <v>8</v>
      </c>
      <c r="D49" s="1418"/>
      <c r="E49" s="1419">
        <f>R49</f>
        <v>8</v>
      </c>
      <c r="F49" s="1419"/>
      <c r="G49" s="1417">
        <f>T49</f>
        <v>8</v>
      </c>
      <c r="H49" s="1418"/>
      <c r="I49" s="1419">
        <f>V49</f>
        <v>9</v>
      </c>
      <c r="J49" s="490"/>
      <c r="K49" s="785"/>
      <c r="L49" s="1147"/>
      <c r="M49" s="1135"/>
      <c r="N49" s="1135"/>
      <c r="O49" s="1135"/>
      <c r="P49" s="3313" t="str">
        <f>A49</f>
        <v>比较价值（元/平方米）</v>
      </c>
      <c r="Q49" s="3314"/>
      <c r="R49" s="3315">
        <f>IF(F1="售价",ROUND(PRODUCT(R48,AA7:AA47),0),ROUND(PRODUCT(R48,AA7:AA47),1))</f>
        <v>8</v>
      </c>
      <c r="S49" s="3315"/>
      <c r="T49" s="3315">
        <f>IF(F1="售价",ROUND(PRODUCT(T48,AB7:AB47),0),ROUND(PRODUCT(T48,AB7:AB47),1))</f>
        <v>8</v>
      </c>
      <c r="U49" s="3315"/>
      <c r="V49" s="3315">
        <f>IF(F1="售价",ROUND(PRODUCT(V48,AC7:AC47),0),ROUND(PRODUCT(V48,AC7:AC47),1))</f>
        <v>9</v>
      </c>
      <c r="W49" s="3315"/>
      <c r="X49" s="447"/>
      <c r="Y49" s="447"/>
      <c r="Z49" s="447"/>
      <c r="AA49" s="447"/>
      <c r="AB49" s="447"/>
      <c r="AC49" s="631"/>
    </row>
    <row r="50" spans="1:29" ht="15.75" thickBot="1">
      <c r="A50" s="493" t="s">
        <v>2579</v>
      </c>
      <c r="B50" s="494"/>
      <c r="C50" s="1421">
        <f>R50</f>
        <v>8</v>
      </c>
      <c r="D50" s="1421"/>
      <c r="E50" s="1421"/>
      <c r="F50" s="1421"/>
      <c r="G50" s="1421"/>
      <c r="H50" s="1421"/>
      <c r="I50" s="1421"/>
      <c r="J50" s="495"/>
      <c r="K50" s="786"/>
      <c r="L50" s="1147"/>
      <c r="M50" s="1135"/>
      <c r="N50" s="1135"/>
      <c r="O50" s="1135"/>
      <c r="P50" s="3316" t="str">
        <f>A50</f>
        <v>估价对象XX用房的比较价值（楼面单价，元/平方米）</v>
      </c>
      <c r="Q50" s="3317"/>
      <c r="R50" s="3318">
        <f>IF(F1="售价",ROUND(AVERAGE(R49:V49),0),ROUND(AVERAGE(R49:V49),1))</f>
        <v>8</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0.14285714285714279</v>
      </c>
      <c r="F53" s="501" t="str">
        <f>IF(OR(E53&gt;=0.3,E53&lt;=-0.3),"超过30%","")</f>
        <v/>
      </c>
      <c r="G53" s="500">
        <f>IF(G48&lt;G49,G49/G48-1,G48/G49-1)</f>
        <v>0.14285714285714279</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2581</v>
      </c>
      <c r="D54" s="502"/>
      <c r="E54" s="500">
        <f>IF(E49&lt;G49,G49/E49-1,E49/G49-1)</f>
        <v>0</v>
      </c>
      <c r="F54" s="501" t="str">
        <f>IF(OR(E54&gt;=0.2,E54&lt;=-0.2),"超过20%","")</f>
        <v/>
      </c>
      <c r="G54" s="500">
        <f>IF(G49&lt;I49,I49/G49-1,G49/I49-1)</f>
        <v>0.125</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L37" sqref="L37"/>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89" t="s">
        <v>3316</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1" t="s">
        <v>2536</v>
      </c>
      <c r="D4" s="3332"/>
      <c r="E4" s="3333" t="s">
        <v>2537</v>
      </c>
      <c r="F4" s="3334"/>
      <c r="G4" s="3331" t="s">
        <v>2538</v>
      </c>
      <c r="H4" s="3332"/>
      <c r="I4" s="3331" t="s">
        <v>2539</v>
      </c>
      <c r="J4" s="3332"/>
      <c r="K4" s="611" t="s">
        <v>2540</v>
      </c>
      <c r="L4" s="1134"/>
      <c r="M4" s="1135"/>
      <c r="N4" s="1135"/>
      <c r="O4" s="1135"/>
      <c r="P4" s="3335" t="s">
        <v>2541</v>
      </c>
      <c r="Q4" s="3336"/>
      <c r="R4" s="3341" t="s">
        <v>2537</v>
      </c>
      <c r="S4" s="3342"/>
      <c r="T4" s="3341" t="s">
        <v>2538</v>
      </c>
      <c r="U4" s="3342"/>
      <c r="V4" s="3347" t="s">
        <v>2539</v>
      </c>
      <c r="W4" s="3347"/>
      <c r="X4" s="3021"/>
      <c r="Y4" s="3341" t="s">
        <v>2541</v>
      </c>
      <c r="Z4" s="3342"/>
      <c r="AA4" s="3359" t="s">
        <v>2537</v>
      </c>
      <c r="AB4" s="3359" t="s">
        <v>2538</v>
      </c>
      <c r="AC4" s="3328" t="s">
        <v>2539</v>
      </c>
    </row>
    <row r="5" spans="1:29" ht="15">
      <c r="A5" s="405"/>
      <c r="B5" s="406"/>
      <c r="C5" s="3364" t="s">
        <v>3229</v>
      </c>
      <c r="D5" s="3352"/>
      <c r="E5" s="3365" t="s">
        <v>3323</v>
      </c>
      <c r="F5" s="3363"/>
      <c r="G5" s="3364" t="s">
        <v>3324</v>
      </c>
      <c r="H5" s="3352"/>
      <c r="I5" s="3364" t="s">
        <v>3325</v>
      </c>
      <c r="J5" s="3352"/>
      <c r="K5" s="611"/>
      <c r="L5" s="1134"/>
      <c r="M5" s="1135"/>
      <c r="N5" s="1135"/>
      <c r="O5" s="1135"/>
      <c r="P5" s="3337"/>
      <c r="Q5" s="3338"/>
      <c r="R5" s="3343"/>
      <c r="S5" s="3344"/>
      <c r="T5" s="3343"/>
      <c r="U5" s="3344"/>
      <c r="V5" s="3348"/>
      <c r="W5" s="3348"/>
      <c r="X5" s="3022"/>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3022"/>
      <c r="Y6" s="3345"/>
      <c r="Z6" s="3346"/>
      <c r="AA6" s="3361"/>
      <c r="AB6" s="3361"/>
      <c r="AC6" s="3330"/>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53" t="s">
        <v>2549</v>
      </c>
      <c r="Q7" s="3356"/>
      <c r="R7" s="771" t="s">
        <v>17</v>
      </c>
      <c r="S7" s="772">
        <f t="shared" ref="S7:S15" si="0">F7</f>
        <v>99</v>
      </c>
      <c r="T7" s="771" t="s">
        <v>17</v>
      </c>
      <c r="U7" s="772">
        <f t="shared" ref="U7:U15" si="1">H7</f>
        <v>99</v>
      </c>
      <c r="V7" s="771" t="s">
        <v>17</v>
      </c>
      <c r="W7" s="772">
        <f t="shared" ref="W7:W15" si="2">J7</f>
        <v>99</v>
      </c>
      <c r="X7" s="773"/>
      <c r="Y7" s="3355" t="s">
        <v>2549</v>
      </c>
      <c r="Z7" s="3354"/>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53" t="s">
        <v>2552</v>
      </c>
      <c r="Q8" s="3354"/>
      <c r="R8" s="771" t="s">
        <v>17</v>
      </c>
      <c r="S8" s="772">
        <f t="shared" si="0"/>
        <v>100</v>
      </c>
      <c r="T8" s="771" t="s">
        <v>17</v>
      </c>
      <c r="U8" s="772">
        <f t="shared" si="1"/>
        <v>100</v>
      </c>
      <c r="V8" s="771" t="s">
        <v>17</v>
      </c>
      <c r="W8" s="772">
        <f t="shared" si="2"/>
        <v>100</v>
      </c>
      <c r="X8" s="773"/>
      <c r="Y8" s="3355" t="s">
        <v>2552</v>
      </c>
      <c r="Z8" s="3354"/>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13" t="s">
        <v>2555</v>
      </c>
      <c r="Q9" s="3015" t="str">
        <f t="shared" ref="Q9:Q15" si="6">B9</f>
        <v>用途</v>
      </c>
      <c r="R9" s="771" t="s">
        <v>17</v>
      </c>
      <c r="S9" s="772">
        <f t="shared" si="0"/>
        <v>100</v>
      </c>
      <c r="T9" s="771" t="s">
        <v>17</v>
      </c>
      <c r="U9" s="772">
        <f t="shared" si="1"/>
        <v>100</v>
      </c>
      <c r="V9" s="771" t="s">
        <v>17</v>
      </c>
      <c r="W9" s="772">
        <f t="shared" si="2"/>
        <v>100</v>
      </c>
      <c r="X9" s="773"/>
      <c r="Y9" s="3148" t="s">
        <v>2556</v>
      </c>
      <c r="Z9" s="3016" t="str">
        <f t="shared" ref="Z9:Z15" si="7">Q9</f>
        <v>用途</v>
      </c>
      <c r="AA9" s="774">
        <f t="shared" si="3"/>
        <v>1</v>
      </c>
      <c r="AB9" s="774">
        <f t="shared" si="4"/>
        <v>1</v>
      </c>
      <c r="AC9" s="2674">
        <f t="shared" si="5"/>
        <v>1</v>
      </c>
    </row>
    <row r="10" spans="1:29" s="428" customFormat="1" ht="27">
      <c r="A10" s="422"/>
      <c r="B10" s="301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13"/>
      <c r="Q10" s="3015" t="str">
        <f t="shared" si="6"/>
        <v>土地使用年限（年）</v>
      </c>
      <c r="R10" s="771" t="s">
        <v>17</v>
      </c>
      <c r="S10" s="772">
        <f t="shared" si="0"/>
        <v>100</v>
      </c>
      <c r="T10" s="771" t="s">
        <v>17</v>
      </c>
      <c r="U10" s="772">
        <f t="shared" si="1"/>
        <v>100</v>
      </c>
      <c r="V10" s="771" t="s">
        <v>17</v>
      </c>
      <c r="W10" s="772">
        <f t="shared" si="2"/>
        <v>100</v>
      </c>
      <c r="X10" s="773"/>
      <c r="Y10" s="3148"/>
      <c r="Z10" s="3016" t="str">
        <f t="shared" si="7"/>
        <v>土地使用年限（年）</v>
      </c>
      <c r="AA10" s="774">
        <f t="shared" si="3"/>
        <v>1</v>
      </c>
      <c r="AB10" s="774">
        <f t="shared" si="4"/>
        <v>1</v>
      </c>
      <c r="AC10" s="2674">
        <f t="shared" si="5"/>
        <v>1</v>
      </c>
    </row>
    <row r="11" spans="1:29" ht="15">
      <c r="A11" s="429"/>
      <c r="B11" s="301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13"/>
      <c r="Q11" s="3015" t="str">
        <f t="shared" si="6"/>
        <v>容积率</v>
      </c>
      <c r="R11" s="771" t="s">
        <v>17</v>
      </c>
      <c r="S11" s="772">
        <f t="shared" si="0"/>
        <v>100</v>
      </c>
      <c r="T11" s="771" t="s">
        <v>17</v>
      </c>
      <c r="U11" s="772">
        <f t="shared" si="1"/>
        <v>100</v>
      </c>
      <c r="V11" s="771" t="s">
        <v>17</v>
      </c>
      <c r="W11" s="772">
        <f t="shared" si="2"/>
        <v>100</v>
      </c>
      <c r="X11" s="773"/>
      <c r="Y11" s="3148"/>
      <c r="Z11" s="3016"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3015">
        <f t="shared" si="6"/>
        <v>0</v>
      </c>
      <c r="R12" s="771" t="s">
        <v>17</v>
      </c>
      <c r="S12" s="772">
        <f t="shared" si="0"/>
        <v>100</v>
      </c>
      <c r="T12" s="771" t="s">
        <v>17</v>
      </c>
      <c r="U12" s="772">
        <f t="shared" si="1"/>
        <v>100</v>
      </c>
      <c r="V12" s="771" t="s">
        <v>17</v>
      </c>
      <c r="W12" s="772">
        <f t="shared" si="2"/>
        <v>100</v>
      </c>
      <c r="X12" s="773"/>
      <c r="Y12" s="3148"/>
      <c r="Z12" s="3016">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3015">
        <f t="shared" si="6"/>
        <v>0</v>
      </c>
      <c r="R13" s="771" t="s">
        <v>17</v>
      </c>
      <c r="S13" s="772">
        <f t="shared" si="0"/>
        <v>100</v>
      </c>
      <c r="T13" s="771" t="s">
        <v>17</v>
      </c>
      <c r="U13" s="772">
        <f t="shared" si="1"/>
        <v>100</v>
      </c>
      <c r="V13" s="771" t="s">
        <v>17</v>
      </c>
      <c r="W13" s="772">
        <f t="shared" si="2"/>
        <v>100</v>
      </c>
      <c r="X13" s="773"/>
      <c r="Y13" s="3148"/>
      <c r="Z13" s="3016">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3015">
        <f t="shared" si="6"/>
        <v>0</v>
      </c>
      <c r="R14" s="771" t="s">
        <v>17</v>
      </c>
      <c r="S14" s="772">
        <f t="shared" si="0"/>
        <v>100</v>
      </c>
      <c r="T14" s="771" t="s">
        <v>17</v>
      </c>
      <c r="U14" s="772">
        <f t="shared" si="1"/>
        <v>100</v>
      </c>
      <c r="V14" s="771" t="s">
        <v>17</v>
      </c>
      <c r="W14" s="772">
        <f t="shared" si="2"/>
        <v>100</v>
      </c>
      <c r="X14" s="773"/>
      <c r="Y14" s="3148"/>
      <c r="Z14" s="3016">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19" t="s">
        <v>2560</v>
      </c>
      <c r="Q15" s="3018" t="str">
        <f t="shared" si="6"/>
        <v>办公集聚程度</v>
      </c>
      <c r="R15" s="775" t="s">
        <v>17</v>
      </c>
      <c r="S15" s="776">
        <f t="shared" si="0"/>
        <v>100</v>
      </c>
      <c r="T15" s="775" t="s">
        <v>17</v>
      </c>
      <c r="U15" s="776">
        <f t="shared" si="1"/>
        <v>102</v>
      </c>
      <c r="V15" s="775" t="s">
        <v>17</v>
      </c>
      <c r="W15" s="776">
        <f t="shared" si="2"/>
        <v>102</v>
      </c>
      <c r="X15" s="3022"/>
      <c r="Y15" s="3321" t="s">
        <v>2560</v>
      </c>
      <c r="Z15" s="3020" t="str">
        <f t="shared" si="7"/>
        <v>办公集聚程度</v>
      </c>
      <c r="AA15" s="3019">
        <f t="shared" si="3"/>
        <v>1</v>
      </c>
      <c r="AB15" s="3019">
        <f t="shared" si="4"/>
        <v>0.98039215686274506</v>
      </c>
      <c r="AC15" s="2677">
        <f t="shared" si="5"/>
        <v>0.98039215686274506</v>
      </c>
    </row>
    <row r="16" spans="1:29" ht="15">
      <c r="A16" s="429"/>
      <c r="B16" s="631"/>
      <c r="C16" s="2614" t="s">
        <v>3281</v>
      </c>
      <c r="D16" s="449"/>
      <c r="E16" s="448" t="s">
        <v>3281</v>
      </c>
      <c r="F16" s="449"/>
      <c r="G16" s="2614" t="s">
        <v>3282</v>
      </c>
      <c r="H16" s="451"/>
      <c r="I16" s="448" t="s">
        <v>3282</v>
      </c>
      <c r="J16" s="449"/>
      <c r="K16" s="616"/>
      <c r="L16" s="1144"/>
      <c r="M16" s="1135"/>
      <c r="N16" s="1135"/>
      <c r="O16" s="1135"/>
      <c r="P16" s="3320"/>
      <c r="Q16" s="3018"/>
      <c r="R16" s="775"/>
      <c r="S16" s="776"/>
      <c r="T16" s="775"/>
      <c r="U16" s="776"/>
      <c r="V16" s="775"/>
      <c r="W16" s="776"/>
      <c r="X16" s="3022"/>
      <c r="Y16" s="3322"/>
      <c r="Z16" s="3020"/>
      <c r="AA16" s="3019">
        <v>1</v>
      </c>
      <c r="AB16" s="3019">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20"/>
      <c r="Q17" s="3018" t="str">
        <f>B17</f>
        <v>交通便捷度</v>
      </c>
      <c r="R17" s="775" t="s">
        <v>17</v>
      </c>
      <c r="S17" s="776">
        <f>F17</f>
        <v>100</v>
      </c>
      <c r="T17" s="775" t="s">
        <v>17</v>
      </c>
      <c r="U17" s="776">
        <f>H17</f>
        <v>100</v>
      </c>
      <c r="V17" s="775" t="s">
        <v>17</v>
      </c>
      <c r="W17" s="776">
        <f>J17</f>
        <v>100</v>
      </c>
      <c r="X17" s="3022"/>
      <c r="Y17" s="3322"/>
      <c r="Z17" s="3020" t="str">
        <f>Q17</f>
        <v>交通便捷度</v>
      </c>
      <c r="AA17" s="3019">
        <f t="shared" si="3"/>
        <v>1</v>
      </c>
      <c r="AB17" s="3019">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20"/>
      <c r="Q18" s="3018"/>
      <c r="R18" s="775"/>
      <c r="S18" s="776"/>
      <c r="T18" s="775"/>
      <c r="U18" s="776"/>
      <c r="V18" s="775"/>
      <c r="W18" s="776"/>
      <c r="X18" s="3022"/>
      <c r="Y18" s="3322"/>
      <c r="Z18" s="3020"/>
      <c r="AA18" s="3019">
        <v>1</v>
      </c>
      <c r="AB18" s="3019">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20"/>
      <c r="Q19" s="3018" t="str">
        <f>B19</f>
        <v>公共配套设施</v>
      </c>
      <c r="R19" s="775" t="s">
        <v>17</v>
      </c>
      <c r="S19" s="776">
        <f>F19</f>
        <v>100</v>
      </c>
      <c r="T19" s="775" t="s">
        <v>17</v>
      </c>
      <c r="U19" s="776">
        <f>H19</f>
        <v>100</v>
      </c>
      <c r="V19" s="775" t="s">
        <v>17</v>
      </c>
      <c r="W19" s="776">
        <f>J19</f>
        <v>100</v>
      </c>
      <c r="X19" s="3022"/>
      <c r="Y19" s="3322"/>
      <c r="Z19" s="3020" t="str">
        <f>Q19</f>
        <v>公共配套设施</v>
      </c>
      <c r="AA19" s="3019">
        <f t="shared" si="3"/>
        <v>1</v>
      </c>
      <c r="AB19" s="3019">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20"/>
      <c r="Q20" s="3018"/>
      <c r="R20" s="775"/>
      <c r="S20" s="776"/>
      <c r="T20" s="775"/>
      <c r="U20" s="776"/>
      <c r="V20" s="775"/>
      <c r="W20" s="776"/>
      <c r="X20" s="3022"/>
      <c r="Y20" s="3322"/>
      <c r="Z20" s="3020"/>
      <c r="AA20" s="3019">
        <v>1</v>
      </c>
      <c r="AB20" s="3019">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20"/>
      <c r="Q21" s="3018" t="str">
        <f>B21</f>
        <v>基础设施水平</v>
      </c>
      <c r="R21" s="775" t="s">
        <v>17</v>
      </c>
      <c r="S21" s="776">
        <f>F21</f>
        <v>100</v>
      </c>
      <c r="T21" s="775" t="s">
        <v>17</v>
      </c>
      <c r="U21" s="776">
        <f>H21</f>
        <v>100</v>
      </c>
      <c r="V21" s="775" t="s">
        <v>17</v>
      </c>
      <c r="W21" s="776">
        <f>J21</f>
        <v>100</v>
      </c>
      <c r="X21" s="3022"/>
      <c r="Y21" s="3322"/>
      <c r="Z21" s="3020" t="str">
        <f>Q21</f>
        <v>基础设施水平</v>
      </c>
      <c r="AA21" s="3019">
        <f t="shared" ref="AA21" si="8">D21/F21</f>
        <v>1</v>
      </c>
      <c r="AB21" s="3019">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20"/>
      <c r="Q22" s="3018"/>
      <c r="R22" s="775"/>
      <c r="S22" s="776"/>
      <c r="T22" s="775"/>
      <c r="U22" s="776"/>
      <c r="V22" s="775"/>
      <c r="W22" s="776"/>
      <c r="X22" s="3022"/>
      <c r="Y22" s="3322"/>
      <c r="Z22" s="3020"/>
      <c r="AA22" s="3019">
        <v>1</v>
      </c>
      <c r="AB22" s="3019">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20"/>
      <c r="Q23" s="3018" t="str">
        <f>B23</f>
        <v>环境质量</v>
      </c>
      <c r="R23" s="775" t="s">
        <v>17</v>
      </c>
      <c r="S23" s="776">
        <f>F23</f>
        <v>100</v>
      </c>
      <c r="T23" s="775" t="s">
        <v>17</v>
      </c>
      <c r="U23" s="776">
        <f>H23</f>
        <v>100</v>
      </c>
      <c r="V23" s="775" t="s">
        <v>17</v>
      </c>
      <c r="W23" s="776">
        <f>J23</f>
        <v>100</v>
      </c>
      <c r="X23" s="3022"/>
      <c r="Y23" s="3322"/>
      <c r="Z23" s="3020" t="str">
        <f>Q23</f>
        <v>环境质量</v>
      </c>
      <c r="AA23" s="3019">
        <f t="shared" si="3"/>
        <v>1</v>
      </c>
      <c r="AB23" s="3019">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20"/>
      <c r="Q24" s="3018"/>
      <c r="R24" s="775"/>
      <c r="S24" s="776"/>
      <c r="T24" s="775"/>
      <c r="U24" s="776"/>
      <c r="V24" s="775"/>
      <c r="W24" s="776"/>
      <c r="X24" s="3022"/>
      <c r="Y24" s="3322"/>
      <c r="Z24" s="3020"/>
      <c r="AA24" s="3019">
        <v>1</v>
      </c>
      <c r="AB24" s="3019">
        <v>1</v>
      </c>
      <c r="AC24" s="2677">
        <v>1</v>
      </c>
    </row>
    <row r="25" spans="1:29" ht="27.75">
      <c r="A25" s="405"/>
      <c r="B25" s="632" t="s">
        <v>2691</v>
      </c>
      <c r="C25" s="2618" t="s">
        <v>3284</v>
      </c>
      <c r="D25" s="436">
        <v>100</v>
      </c>
      <c r="E25" s="435"/>
      <c r="F25" s="436">
        <f>SUMIF(87:87,E26,88:88)-SUMIF(87:87,C26,88:88)+100</f>
        <v>94</v>
      </c>
      <c r="G25" s="2618" t="s">
        <v>3286</v>
      </c>
      <c r="H25" s="436">
        <f>SUMIF(87:87,G26,88:88)-SUMIF(87:87,C26,88:88)+100</f>
        <v>100</v>
      </c>
      <c r="I25" s="3009" t="s">
        <v>3287</v>
      </c>
      <c r="J25" s="436">
        <f>SUMIF(87:87,I26,88:88)-SUMIF(87:87,C26,88:88)+100</f>
        <v>100</v>
      </c>
      <c r="K25" s="615">
        <v>2</v>
      </c>
      <c r="L25" s="1144"/>
      <c r="M25" s="1135"/>
      <c r="N25" s="1135"/>
      <c r="O25" s="1135"/>
      <c r="P25" s="3320"/>
      <c r="Q25" s="3018" t="str">
        <f>B25</f>
        <v>毗邻道路的类型与等级</v>
      </c>
      <c r="R25" s="775" t="s">
        <v>17</v>
      </c>
      <c r="S25" s="776">
        <f>F25</f>
        <v>94</v>
      </c>
      <c r="T25" s="775" t="s">
        <v>17</v>
      </c>
      <c r="U25" s="776">
        <f>H25</f>
        <v>100</v>
      </c>
      <c r="V25" s="775" t="s">
        <v>17</v>
      </c>
      <c r="W25" s="776">
        <f>J25</f>
        <v>100</v>
      </c>
      <c r="X25" s="3022"/>
      <c r="Y25" s="3322"/>
      <c r="Z25" s="3020" t="str">
        <f>Q25</f>
        <v>毗邻道路的类型与等级</v>
      </c>
      <c r="AA25" s="3019">
        <f t="shared" si="3"/>
        <v>1.0638297872340425</v>
      </c>
      <c r="AB25" s="3019">
        <f t="shared" si="4"/>
        <v>1</v>
      </c>
      <c r="AC25" s="2677">
        <f t="shared" si="5"/>
        <v>1</v>
      </c>
    </row>
    <row r="26" spans="1:29" ht="15">
      <c r="A26" s="405"/>
      <c r="B26" s="633"/>
      <c r="C26" s="635" t="s">
        <v>3233</v>
      </c>
      <c r="D26" s="436"/>
      <c r="E26" s="617" t="s">
        <v>3237</v>
      </c>
      <c r="F26" s="436"/>
      <c r="G26" s="635" t="s">
        <v>3233</v>
      </c>
      <c r="H26" s="436"/>
      <c r="I26" s="617" t="s">
        <v>3233</v>
      </c>
      <c r="J26" s="436"/>
      <c r="K26" s="616"/>
      <c r="L26" s="1144"/>
      <c r="M26" s="1135"/>
      <c r="N26" s="1135"/>
      <c r="O26" s="1135"/>
      <c r="P26" s="3320"/>
      <c r="Q26" s="3018"/>
      <c r="R26" s="775"/>
      <c r="S26" s="776"/>
      <c r="T26" s="775"/>
      <c r="U26" s="776"/>
      <c r="V26" s="775"/>
      <c r="W26" s="776"/>
      <c r="X26" s="3022"/>
      <c r="Y26" s="3322"/>
      <c r="Z26" s="3020"/>
      <c r="AA26" s="3019">
        <v>1</v>
      </c>
      <c r="AB26" s="3019">
        <v>1</v>
      </c>
      <c r="AC26" s="2677">
        <v>1</v>
      </c>
    </row>
    <row r="27" spans="1:29" ht="15">
      <c r="A27" s="429"/>
      <c r="B27" s="633" t="s">
        <v>2659</v>
      </c>
      <c r="C27" s="635" t="s">
        <v>3239</v>
      </c>
      <c r="D27" s="436">
        <v>100</v>
      </c>
      <c r="E27" s="617" t="s">
        <v>3241</v>
      </c>
      <c r="F27" s="436">
        <f>SUMIF(89:89,E27,90:90)-SUMIF(89:89,C27,90:90)+100</f>
        <v>95</v>
      </c>
      <c r="G27" s="635" t="s">
        <v>3241</v>
      </c>
      <c r="H27" s="436">
        <f>SUMIF(89:89,G27,90:90)-SUMIF(89:89,C27,90:90)+100</f>
        <v>95</v>
      </c>
      <c r="I27" s="617" t="s">
        <v>3241</v>
      </c>
      <c r="J27" s="436">
        <f>SUMIF(89:89,I27,90:90)-SUMIF(89:89,C27,90:90)+100</f>
        <v>95</v>
      </c>
      <c r="K27" s="613">
        <v>5</v>
      </c>
      <c r="L27" s="1144"/>
      <c r="M27" s="1135"/>
      <c r="N27" s="1135"/>
      <c r="O27" s="1135"/>
      <c r="P27" s="3320"/>
      <c r="Q27" s="3018" t="str">
        <f t="shared" ref="Q27:Q47" si="11">B27</f>
        <v>楼层</v>
      </c>
      <c r="R27" s="775" t="s">
        <v>17</v>
      </c>
      <c r="S27" s="776">
        <f>F27</f>
        <v>95</v>
      </c>
      <c r="T27" s="775" t="s">
        <v>17</v>
      </c>
      <c r="U27" s="776">
        <f>H27</f>
        <v>95</v>
      </c>
      <c r="V27" s="775" t="s">
        <v>17</v>
      </c>
      <c r="W27" s="776">
        <f>J27</f>
        <v>95</v>
      </c>
      <c r="X27" s="3022"/>
      <c r="Y27" s="3322"/>
      <c r="Z27" s="3020" t="str">
        <f>Q27</f>
        <v>楼层</v>
      </c>
      <c r="AA27" s="3019">
        <f t="shared" si="3"/>
        <v>1.0526315789473684</v>
      </c>
      <c r="AB27" s="3019">
        <f t="shared" si="4"/>
        <v>1.0526315789473684</v>
      </c>
      <c r="AC27" s="2677">
        <f t="shared" si="5"/>
        <v>1.0526315789473684</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20"/>
      <c r="Q28" s="3015" t="str">
        <f t="shared" si="11"/>
        <v>朝向</v>
      </c>
      <c r="R28" s="771" t="s">
        <v>17</v>
      </c>
      <c r="S28" s="772">
        <f>F28</f>
        <v>100</v>
      </c>
      <c r="T28" s="771" t="s">
        <v>17</v>
      </c>
      <c r="U28" s="772">
        <f>H28</f>
        <v>100</v>
      </c>
      <c r="V28" s="771" t="s">
        <v>17</v>
      </c>
      <c r="W28" s="772">
        <f>J28</f>
        <v>100</v>
      </c>
      <c r="X28" s="773"/>
      <c r="Y28" s="3322"/>
      <c r="Z28" s="3016" t="str">
        <f>Q28</f>
        <v>朝向</v>
      </c>
      <c r="AA28" s="3019">
        <f>D28/F28</f>
        <v>1</v>
      </c>
      <c r="AB28" s="3019">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3018">
        <f t="shared" si="11"/>
        <v>111</v>
      </c>
      <c r="R29" s="775" t="s">
        <v>17</v>
      </c>
      <c r="S29" s="776">
        <f t="shared" ref="S29:S47" si="12">F29</f>
        <v>100</v>
      </c>
      <c r="T29" s="775" t="s">
        <v>17</v>
      </c>
      <c r="U29" s="776">
        <f t="shared" ref="U29:U47" si="13">H29</f>
        <v>100</v>
      </c>
      <c r="V29" s="775" t="s">
        <v>17</v>
      </c>
      <c r="W29" s="776">
        <f t="shared" ref="W29:W47" si="14">J29</f>
        <v>100</v>
      </c>
      <c r="X29" s="3022"/>
      <c r="Y29" s="3322"/>
      <c r="Z29" s="3020">
        <f t="shared" ref="Z29:Z47" si="15">Q29</f>
        <v>111</v>
      </c>
      <c r="AA29" s="3019">
        <f t="shared" si="3"/>
        <v>1</v>
      </c>
      <c r="AB29" s="3019">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3018">
        <f t="shared" si="11"/>
        <v>111</v>
      </c>
      <c r="R30" s="775" t="s">
        <v>17</v>
      </c>
      <c r="S30" s="776">
        <f t="shared" si="12"/>
        <v>100</v>
      </c>
      <c r="T30" s="775" t="s">
        <v>17</v>
      </c>
      <c r="U30" s="776">
        <f t="shared" si="13"/>
        <v>100</v>
      </c>
      <c r="V30" s="775" t="s">
        <v>17</v>
      </c>
      <c r="W30" s="776">
        <f t="shared" si="14"/>
        <v>100</v>
      </c>
      <c r="X30" s="3022"/>
      <c r="Y30" s="3322"/>
      <c r="Z30" s="3020">
        <f t="shared" si="15"/>
        <v>111</v>
      </c>
      <c r="AA30" s="3019">
        <f t="shared" si="3"/>
        <v>1</v>
      </c>
      <c r="AB30" s="3019">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3018">
        <f t="shared" si="11"/>
        <v>111</v>
      </c>
      <c r="R31" s="775" t="s">
        <v>17</v>
      </c>
      <c r="S31" s="776">
        <f t="shared" si="12"/>
        <v>100</v>
      </c>
      <c r="T31" s="775" t="s">
        <v>17</v>
      </c>
      <c r="U31" s="776">
        <f t="shared" si="13"/>
        <v>100</v>
      </c>
      <c r="V31" s="775" t="s">
        <v>17</v>
      </c>
      <c r="W31" s="776">
        <f t="shared" si="14"/>
        <v>100</v>
      </c>
      <c r="X31" s="3022"/>
      <c r="Y31" s="3322"/>
      <c r="Z31" s="3020">
        <f t="shared" si="15"/>
        <v>111</v>
      </c>
      <c r="AA31" s="3019">
        <f t="shared" si="3"/>
        <v>1</v>
      </c>
      <c r="AB31" s="3019">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3018">
        <f t="shared" si="11"/>
        <v>111</v>
      </c>
      <c r="R32" s="775" t="s">
        <v>17</v>
      </c>
      <c r="S32" s="776">
        <f t="shared" si="12"/>
        <v>100</v>
      </c>
      <c r="T32" s="775" t="s">
        <v>17</v>
      </c>
      <c r="U32" s="776">
        <f t="shared" si="13"/>
        <v>100</v>
      </c>
      <c r="V32" s="775" t="s">
        <v>17</v>
      </c>
      <c r="W32" s="776">
        <f t="shared" si="14"/>
        <v>100</v>
      </c>
      <c r="X32" s="3022"/>
      <c r="Y32" s="3322"/>
      <c r="Z32" s="3020">
        <f t="shared" si="15"/>
        <v>111</v>
      </c>
      <c r="AA32" s="3019">
        <f t="shared" si="3"/>
        <v>1</v>
      </c>
      <c r="AB32" s="3019">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23" t="s">
        <v>2565</v>
      </c>
      <c r="Q33" s="3018" t="str">
        <f t="shared" si="11"/>
        <v>建筑类型</v>
      </c>
      <c r="R33" s="775" t="s">
        <v>17</v>
      </c>
      <c r="S33" s="776">
        <f t="shared" si="12"/>
        <v>100</v>
      </c>
      <c r="T33" s="775" t="s">
        <v>17</v>
      </c>
      <c r="U33" s="776">
        <f t="shared" si="13"/>
        <v>100</v>
      </c>
      <c r="V33" s="775" t="s">
        <v>17</v>
      </c>
      <c r="W33" s="776">
        <f t="shared" si="14"/>
        <v>100</v>
      </c>
      <c r="X33" s="3022"/>
      <c r="Y33" s="3326" t="s">
        <v>2565</v>
      </c>
      <c r="Z33" s="3020" t="str">
        <f t="shared" si="15"/>
        <v>建筑类型</v>
      </c>
      <c r="AA33" s="3019">
        <f t="shared" si="3"/>
        <v>1</v>
      </c>
      <c r="AB33" s="3019">
        <f t="shared" si="4"/>
        <v>1</v>
      </c>
      <c r="AC33" s="2677">
        <f t="shared" si="5"/>
        <v>1</v>
      </c>
    </row>
    <row r="34" spans="1:29" s="472" customFormat="1" ht="15">
      <c r="A34" s="469"/>
      <c r="B34" s="3017" t="s">
        <v>2566</v>
      </c>
      <c r="C34" s="470">
        <f>面积!C27</f>
        <v>854.48</v>
      </c>
      <c r="D34" s="136">
        <v>100</v>
      </c>
      <c r="E34" s="431">
        <v>225</v>
      </c>
      <c r="F34" s="426">
        <f>LOOKUP(E34,104:104,105:105)-LOOKUP(C34,104:104,105:105)+100</f>
        <v>102</v>
      </c>
      <c r="G34" s="3013">
        <v>1050</v>
      </c>
      <c r="H34" s="136">
        <f>LOOKUP(G34,104:104,105:105)-LOOKUP(C34,104:104,105:105)+100</f>
        <v>98</v>
      </c>
      <c r="I34" s="430">
        <v>200</v>
      </c>
      <c r="J34" s="136">
        <f>LOOKUP(I34,104:104,105:105)-LOOKUP(C34,104:104,105:105)+100</f>
        <v>102</v>
      </c>
      <c r="K34" s="614"/>
      <c r="L34" s="1142"/>
      <c r="M34" s="1145"/>
      <c r="N34" s="1145"/>
      <c r="O34" s="1145"/>
      <c r="P34" s="3324"/>
      <c r="Q34" s="777" t="str">
        <f t="shared" si="11"/>
        <v>项目建筑规模</v>
      </c>
      <c r="R34" s="778" t="s">
        <v>17</v>
      </c>
      <c r="S34" s="779">
        <f t="shared" si="12"/>
        <v>102</v>
      </c>
      <c r="T34" s="778" t="s">
        <v>17</v>
      </c>
      <c r="U34" s="779">
        <f t="shared" si="13"/>
        <v>98</v>
      </c>
      <c r="V34" s="778" t="s">
        <v>17</v>
      </c>
      <c r="W34" s="779">
        <f t="shared" si="14"/>
        <v>102</v>
      </c>
      <c r="X34" s="780"/>
      <c r="Y34" s="3326"/>
      <c r="Z34" s="781" t="str">
        <f t="shared" si="15"/>
        <v>项目建筑规模</v>
      </c>
      <c r="AA34" s="3019">
        <f t="shared" si="3"/>
        <v>0.98039215686274506</v>
      </c>
      <c r="AB34" s="3019">
        <f t="shared" si="4"/>
        <v>1.0204081632653061</v>
      </c>
      <c r="AC34" s="2677">
        <f t="shared" si="5"/>
        <v>0.98039215686274506</v>
      </c>
    </row>
    <row r="35" spans="1:29" ht="15">
      <c r="A35" s="473"/>
      <c r="B35" s="301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24"/>
      <c r="Q35" s="3018" t="str">
        <f t="shared" si="11"/>
        <v>建筑结构</v>
      </c>
      <c r="R35" s="775" t="s">
        <v>17</v>
      </c>
      <c r="S35" s="776">
        <f t="shared" si="12"/>
        <v>100</v>
      </c>
      <c r="T35" s="775" t="s">
        <v>17</v>
      </c>
      <c r="U35" s="776">
        <f t="shared" si="13"/>
        <v>100</v>
      </c>
      <c r="V35" s="775" t="s">
        <v>17</v>
      </c>
      <c r="W35" s="776">
        <f t="shared" si="14"/>
        <v>100</v>
      </c>
      <c r="X35" s="3022"/>
      <c r="Y35" s="3326"/>
      <c r="Z35" s="3020" t="str">
        <f t="shared" si="15"/>
        <v>建筑结构</v>
      </c>
      <c r="AA35" s="3019">
        <f t="shared" si="3"/>
        <v>1</v>
      </c>
      <c r="AB35" s="3019">
        <f t="shared" si="4"/>
        <v>1</v>
      </c>
      <c r="AC35" s="2677">
        <f t="shared" si="5"/>
        <v>1</v>
      </c>
    </row>
    <row r="36" spans="1:29" ht="15">
      <c r="A36" s="473"/>
      <c r="B36" s="301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24"/>
      <c r="Q36" s="3018" t="str">
        <f t="shared" si="11"/>
        <v>公共部分装修</v>
      </c>
      <c r="R36" s="775" t="s">
        <v>17</v>
      </c>
      <c r="S36" s="776">
        <f t="shared" si="12"/>
        <v>100</v>
      </c>
      <c r="T36" s="775" t="s">
        <v>17</v>
      </c>
      <c r="U36" s="776">
        <f t="shared" si="13"/>
        <v>100</v>
      </c>
      <c r="V36" s="775" t="s">
        <v>17</v>
      </c>
      <c r="W36" s="776">
        <f t="shared" si="14"/>
        <v>100</v>
      </c>
      <c r="X36" s="3022"/>
      <c r="Y36" s="3326"/>
      <c r="Z36" s="3020" t="str">
        <f t="shared" si="15"/>
        <v>公共部分装修</v>
      </c>
      <c r="AA36" s="3019">
        <f t="shared" si="3"/>
        <v>1</v>
      </c>
      <c r="AB36" s="3019">
        <f t="shared" si="4"/>
        <v>1</v>
      </c>
      <c r="AC36" s="2677">
        <f t="shared" si="5"/>
        <v>1</v>
      </c>
    </row>
    <row r="37" spans="1:29" ht="15">
      <c r="A37" s="473"/>
      <c r="B37" s="3017" t="s">
        <v>2662</v>
      </c>
      <c r="C37" s="475">
        <f>'数据-取费表'!N6</f>
        <v>0.87</v>
      </c>
      <c r="D37" s="436">
        <v>100</v>
      </c>
      <c r="E37" s="475">
        <v>0.8</v>
      </c>
      <c r="F37" s="462">
        <f>LOOKUP(E37,111:111,112:112)-LOOKUP(C37,111:111,112:112)+100</f>
        <v>100</v>
      </c>
      <c r="G37" s="3014">
        <v>0.8</v>
      </c>
      <c r="H37" s="462">
        <f>LOOKUP(G37,111:111,112:112)-LOOKUP(C37,111:111,112:112)+100</f>
        <v>100</v>
      </c>
      <c r="I37" s="475">
        <v>0.82</v>
      </c>
      <c r="J37" s="436">
        <f>LOOKUP(I37,111:111,112:112)-LOOKUP(C37,111:111,112:112)+100</f>
        <v>100</v>
      </c>
      <c r="K37" s="613">
        <v>2</v>
      </c>
      <c r="L37" s="1144"/>
      <c r="M37" s="1135"/>
      <c r="N37" s="1135"/>
      <c r="O37" s="1135"/>
      <c r="P37" s="3324"/>
      <c r="Q37" s="3018" t="str">
        <f t="shared" si="11"/>
        <v>成新度</v>
      </c>
      <c r="R37" s="775" t="s">
        <v>17</v>
      </c>
      <c r="S37" s="776">
        <f t="shared" si="12"/>
        <v>100</v>
      </c>
      <c r="T37" s="775" t="s">
        <v>17</v>
      </c>
      <c r="U37" s="776">
        <f t="shared" si="13"/>
        <v>100</v>
      </c>
      <c r="V37" s="775" t="s">
        <v>17</v>
      </c>
      <c r="W37" s="776">
        <f t="shared" si="14"/>
        <v>100</v>
      </c>
      <c r="X37" s="3022"/>
      <c r="Y37" s="3326"/>
      <c r="Z37" s="3020" t="str">
        <f t="shared" si="15"/>
        <v>成新度</v>
      </c>
      <c r="AA37" s="3019">
        <f t="shared" si="3"/>
        <v>1</v>
      </c>
      <c r="AB37" s="3019">
        <f t="shared" si="4"/>
        <v>1</v>
      </c>
      <c r="AC37" s="2677">
        <f t="shared" si="5"/>
        <v>1</v>
      </c>
    </row>
    <row r="38" spans="1:29" s="117" customFormat="1" ht="15">
      <c r="A38" s="474"/>
      <c r="B38" s="301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24"/>
      <c r="Q38" s="3015" t="str">
        <f t="shared" si="11"/>
        <v>写字楼等级</v>
      </c>
      <c r="R38" s="771" t="s">
        <v>17</v>
      </c>
      <c r="S38" s="772">
        <f t="shared" si="12"/>
        <v>95</v>
      </c>
      <c r="T38" s="771" t="s">
        <v>17</v>
      </c>
      <c r="U38" s="772">
        <f t="shared" si="13"/>
        <v>95</v>
      </c>
      <c r="V38" s="771" t="s">
        <v>17</v>
      </c>
      <c r="W38" s="772">
        <f t="shared" si="14"/>
        <v>95</v>
      </c>
      <c r="X38" s="773"/>
      <c r="Y38" s="3326"/>
      <c r="Z38" s="3016" t="str">
        <f t="shared" si="15"/>
        <v>写字楼等级</v>
      </c>
      <c r="AA38" s="774">
        <f t="shared" si="3"/>
        <v>1.0526315789473684</v>
      </c>
      <c r="AB38" s="774">
        <f t="shared" si="4"/>
        <v>1.0526315789473684</v>
      </c>
      <c r="AC38" s="2674">
        <f t="shared" si="5"/>
        <v>1.0526315789473684</v>
      </c>
    </row>
    <row r="39" spans="1:29" ht="15">
      <c r="A39" s="473"/>
      <c r="B39" s="301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24" t="s">
        <v>2565</v>
      </c>
      <c r="Q39" s="3018" t="str">
        <f t="shared" si="11"/>
        <v>物业管理</v>
      </c>
      <c r="R39" s="775" t="s">
        <v>17</v>
      </c>
      <c r="S39" s="776">
        <f t="shared" si="12"/>
        <v>100</v>
      </c>
      <c r="T39" s="775" t="s">
        <v>17</v>
      </c>
      <c r="U39" s="776">
        <f t="shared" si="13"/>
        <v>100</v>
      </c>
      <c r="V39" s="775" t="s">
        <v>17</v>
      </c>
      <c r="W39" s="776">
        <f t="shared" si="14"/>
        <v>100</v>
      </c>
      <c r="X39" s="3022"/>
      <c r="Y39" s="3326" t="s">
        <v>2565</v>
      </c>
      <c r="Z39" s="3020" t="str">
        <f t="shared" si="15"/>
        <v>物业管理</v>
      </c>
      <c r="AA39" s="3019">
        <f t="shared" si="3"/>
        <v>1</v>
      </c>
      <c r="AB39" s="3019">
        <f t="shared" si="4"/>
        <v>1</v>
      </c>
      <c r="AC39" s="2677">
        <f t="shared" si="5"/>
        <v>1</v>
      </c>
    </row>
    <row r="40" spans="1:29" ht="15">
      <c r="A40" s="473"/>
      <c r="B40" s="301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24"/>
      <c r="Q40" s="3018" t="str">
        <f t="shared" si="11"/>
        <v>市政基础设施</v>
      </c>
      <c r="R40" s="775" t="s">
        <v>17</v>
      </c>
      <c r="S40" s="776">
        <f t="shared" si="12"/>
        <v>100</v>
      </c>
      <c r="T40" s="775" t="s">
        <v>17</v>
      </c>
      <c r="U40" s="776">
        <f t="shared" si="13"/>
        <v>100</v>
      </c>
      <c r="V40" s="775" t="s">
        <v>17</v>
      </c>
      <c r="W40" s="776">
        <f t="shared" si="14"/>
        <v>100</v>
      </c>
      <c r="X40" s="3022"/>
      <c r="Y40" s="3326"/>
      <c r="Z40" s="3020" t="str">
        <f t="shared" si="15"/>
        <v>市政基础设施</v>
      </c>
      <c r="AA40" s="3019">
        <f t="shared" si="3"/>
        <v>1</v>
      </c>
      <c r="AB40" s="3019">
        <f t="shared" si="4"/>
        <v>1</v>
      </c>
      <c r="AC40" s="2677">
        <f t="shared" si="5"/>
        <v>1</v>
      </c>
    </row>
    <row r="41" spans="1:29" ht="15">
      <c r="A41" s="473"/>
      <c r="B41" s="301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24"/>
      <c r="Q41" s="3018" t="str">
        <f t="shared" si="11"/>
        <v>层高</v>
      </c>
      <c r="R41" s="775" t="s">
        <v>17</v>
      </c>
      <c r="S41" s="776">
        <f t="shared" si="12"/>
        <v>100</v>
      </c>
      <c r="T41" s="775" t="s">
        <v>17</v>
      </c>
      <c r="U41" s="776">
        <f t="shared" si="13"/>
        <v>100</v>
      </c>
      <c r="V41" s="775" t="s">
        <v>17</v>
      </c>
      <c r="W41" s="776">
        <f t="shared" si="14"/>
        <v>100</v>
      </c>
      <c r="X41" s="3022"/>
      <c r="Y41" s="3326"/>
      <c r="Z41" s="3020" t="str">
        <f t="shared" si="15"/>
        <v>层高</v>
      </c>
      <c r="AA41" s="3019">
        <f t="shared" si="3"/>
        <v>1</v>
      </c>
      <c r="AB41" s="3019">
        <f t="shared" si="4"/>
        <v>1</v>
      </c>
      <c r="AC41" s="2677">
        <f t="shared" si="5"/>
        <v>1</v>
      </c>
    </row>
    <row r="42" spans="1:29" s="472" customFormat="1" ht="15">
      <c r="A42" s="469"/>
      <c r="B42" s="3023"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3019">
        <f t="shared" si="3"/>
        <v>1</v>
      </c>
      <c r="AB42" s="3019">
        <f t="shared" si="4"/>
        <v>1</v>
      </c>
      <c r="AC42" s="2677">
        <f t="shared" si="5"/>
        <v>1</v>
      </c>
    </row>
    <row r="43" spans="1:29" ht="15">
      <c r="A43" s="473"/>
      <c r="B43" s="301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24"/>
      <c r="Q43" s="3018" t="str">
        <f t="shared" si="11"/>
        <v>内部装修</v>
      </c>
      <c r="R43" s="775" t="s">
        <v>17</v>
      </c>
      <c r="S43" s="776">
        <f t="shared" si="12"/>
        <v>100</v>
      </c>
      <c r="T43" s="775" t="s">
        <v>17</v>
      </c>
      <c r="U43" s="776">
        <f t="shared" si="13"/>
        <v>100</v>
      </c>
      <c r="V43" s="775" t="s">
        <v>17</v>
      </c>
      <c r="W43" s="776">
        <f t="shared" si="14"/>
        <v>100</v>
      </c>
      <c r="X43" s="3022"/>
      <c r="Y43" s="3326"/>
      <c r="Z43" s="3020" t="str">
        <f t="shared" si="15"/>
        <v>内部装修</v>
      </c>
      <c r="AA43" s="3019">
        <f t="shared" si="3"/>
        <v>1</v>
      </c>
      <c r="AB43" s="3019">
        <f t="shared" si="4"/>
        <v>1</v>
      </c>
      <c r="AC43" s="2677">
        <f t="shared" si="5"/>
        <v>1</v>
      </c>
    </row>
    <row r="44" spans="1:29" ht="15">
      <c r="A44" s="473"/>
      <c r="B44" s="301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24"/>
      <c r="Q44" s="3018" t="str">
        <f t="shared" si="11"/>
        <v>内部装修维护情况</v>
      </c>
      <c r="R44" s="775" t="s">
        <v>17</v>
      </c>
      <c r="S44" s="776">
        <f t="shared" si="12"/>
        <v>100</v>
      </c>
      <c r="T44" s="775" t="s">
        <v>17</v>
      </c>
      <c r="U44" s="776">
        <f t="shared" si="13"/>
        <v>100</v>
      </c>
      <c r="V44" s="775" t="s">
        <v>17</v>
      </c>
      <c r="W44" s="776">
        <f t="shared" si="14"/>
        <v>100</v>
      </c>
      <c r="X44" s="3022"/>
      <c r="Y44" s="3326"/>
      <c r="Z44" s="3020" t="str">
        <f t="shared" si="15"/>
        <v>内部装修维护情况</v>
      </c>
      <c r="AA44" s="3019">
        <f t="shared" si="3"/>
        <v>1</v>
      </c>
      <c r="AB44" s="3019">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3015">
        <f t="shared" si="11"/>
        <v>0</v>
      </c>
      <c r="R45" s="771" t="s">
        <v>17</v>
      </c>
      <c r="S45" s="772">
        <f t="shared" si="12"/>
        <v>100</v>
      </c>
      <c r="T45" s="771" t="s">
        <v>17</v>
      </c>
      <c r="U45" s="772">
        <f t="shared" si="13"/>
        <v>100</v>
      </c>
      <c r="V45" s="771" t="s">
        <v>17</v>
      </c>
      <c r="W45" s="772">
        <f t="shared" si="14"/>
        <v>100</v>
      </c>
      <c r="X45" s="773"/>
      <c r="Y45" s="3326"/>
      <c r="Z45" s="3016">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3018">
        <f t="shared" si="11"/>
        <v>0</v>
      </c>
      <c r="R46" s="775" t="s">
        <v>17</v>
      </c>
      <c r="S46" s="776">
        <f t="shared" si="12"/>
        <v>100</v>
      </c>
      <c r="T46" s="775" t="s">
        <v>17</v>
      </c>
      <c r="U46" s="776">
        <f t="shared" si="13"/>
        <v>100</v>
      </c>
      <c r="V46" s="775" t="s">
        <v>17</v>
      </c>
      <c r="W46" s="776">
        <f t="shared" si="14"/>
        <v>100</v>
      </c>
      <c r="X46" s="3022"/>
      <c r="Y46" s="3326"/>
      <c r="Z46" s="3020">
        <f t="shared" si="15"/>
        <v>0</v>
      </c>
      <c r="AA46" s="3019">
        <f t="shared" si="3"/>
        <v>1</v>
      </c>
      <c r="AB46" s="3019">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3018">
        <f t="shared" si="11"/>
        <v>0</v>
      </c>
      <c r="R47" s="775" t="s">
        <v>17</v>
      </c>
      <c r="S47" s="776">
        <f t="shared" si="12"/>
        <v>100</v>
      </c>
      <c r="T47" s="775" t="s">
        <v>17</v>
      </c>
      <c r="U47" s="776">
        <f t="shared" si="13"/>
        <v>100</v>
      </c>
      <c r="V47" s="775" t="s">
        <v>17</v>
      </c>
      <c r="W47" s="776">
        <f t="shared" si="14"/>
        <v>100</v>
      </c>
      <c r="X47" s="3022"/>
      <c r="Y47" s="3327"/>
      <c r="Z47" s="3020">
        <f t="shared" si="15"/>
        <v>0</v>
      </c>
      <c r="AA47" s="3019">
        <f t="shared" si="3"/>
        <v>1</v>
      </c>
      <c r="AB47" s="3019">
        <f t="shared" si="4"/>
        <v>1</v>
      </c>
      <c r="AC47" s="2677">
        <f t="shared" si="5"/>
        <v>1</v>
      </c>
    </row>
    <row r="48" spans="1:29" ht="15">
      <c r="A48" s="480" t="s">
        <v>2577</v>
      </c>
      <c r="B48" s="481"/>
      <c r="C48" s="1411" t="s">
        <v>1</v>
      </c>
      <c r="D48" s="1412"/>
      <c r="E48" s="1413">
        <f>45000*0.93</f>
        <v>41850</v>
      </c>
      <c r="F48" s="1414"/>
      <c r="G48" s="1415">
        <f>48500*0.93</f>
        <v>45105</v>
      </c>
      <c r="H48" s="1416"/>
      <c r="I48" s="1413">
        <f>45000*0.93</f>
        <v>41850</v>
      </c>
      <c r="J48" s="486"/>
      <c r="K48" s="784"/>
      <c r="L48" s="1147"/>
      <c r="M48" s="1135"/>
      <c r="N48" s="1135"/>
      <c r="O48" s="1135"/>
      <c r="P48" s="3313" t="str">
        <f>A48</f>
        <v>成交单价（元/平方米）</v>
      </c>
      <c r="Q48" s="3314"/>
      <c r="R48" s="3315">
        <f>E48</f>
        <v>41850</v>
      </c>
      <c r="S48" s="3315"/>
      <c r="T48" s="3315">
        <f>G48</f>
        <v>45105</v>
      </c>
      <c r="U48" s="3315"/>
      <c r="V48" s="3315">
        <f>I48</f>
        <v>41850</v>
      </c>
      <c r="W48" s="3315"/>
      <c r="X48" s="447"/>
      <c r="Y48" s="782"/>
      <c r="Z48" s="447"/>
      <c r="AA48" s="447"/>
      <c r="AB48" s="447"/>
      <c r="AC48" s="631"/>
    </row>
    <row r="49" spans="1:29" ht="15.75" thickBot="1">
      <c r="A49" s="487" t="s">
        <v>2578</v>
      </c>
      <c r="B49" s="488"/>
      <c r="C49" s="1417">
        <f>R50</f>
        <v>48125</v>
      </c>
      <c r="D49" s="1418"/>
      <c r="E49" s="1419">
        <f>R49</f>
        <v>48852</v>
      </c>
      <c r="F49" s="1419"/>
      <c r="G49" s="1417">
        <f>T49</f>
        <v>50503</v>
      </c>
      <c r="H49" s="1418"/>
      <c r="I49" s="1419">
        <f>V49</f>
        <v>45021</v>
      </c>
      <c r="J49" s="490"/>
      <c r="K49" s="785"/>
      <c r="L49" s="1147"/>
      <c r="M49" s="1135"/>
      <c r="N49" s="1135"/>
      <c r="O49" s="1135"/>
      <c r="P49" s="3313" t="str">
        <f>A49</f>
        <v>比较价值（元/平方米）</v>
      </c>
      <c r="Q49" s="3314"/>
      <c r="R49" s="3315">
        <f>IF(F1="售价",ROUND(PRODUCT(R48,AA7:AA47),0),ROUND(PRODUCT(R48,AA7:AA47),1))</f>
        <v>48852</v>
      </c>
      <c r="S49" s="3315"/>
      <c r="T49" s="3315">
        <f>IF(F1="售价",ROUND(PRODUCT(T48,AB7:AB47),0),ROUND(PRODUCT(T48,AB7:AB47),1))</f>
        <v>50503</v>
      </c>
      <c r="U49" s="3315"/>
      <c r="V49" s="3315">
        <f>IF(F1="售价",ROUND(PRODUCT(V48,AC7:AC47),0),ROUND(PRODUCT(V48,AC7:AC47),1))</f>
        <v>45021</v>
      </c>
      <c r="W49" s="3315"/>
      <c r="X49" s="447"/>
      <c r="Y49" s="447"/>
      <c r="Z49" s="447"/>
      <c r="AA49" s="447"/>
      <c r="AB49" s="447"/>
      <c r="AC49" s="631"/>
    </row>
    <row r="50" spans="1:29" ht="15.75" thickBot="1">
      <c r="A50" s="493" t="s">
        <v>2579</v>
      </c>
      <c r="B50" s="494"/>
      <c r="C50" s="1421">
        <f>R50</f>
        <v>48125</v>
      </c>
      <c r="D50" s="1421"/>
      <c r="E50" s="1421"/>
      <c r="F50" s="1421"/>
      <c r="G50" s="1421"/>
      <c r="H50" s="1421"/>
      <c r="I50" s="1421"/>
      <c r="J50" s="495"/>
      <c r="K50" s="786"/>
      <c r="L50" s="1147"/>
      <c r="M50" s="1135"/>
      <c r="N50" s="1135"/>
      <c r="O50" s="1135"/>
      <c r="P50" s="3316" t="str">
        <f>A50</f>
        <v>估价对象XX用房的比较价值（楼面单价，元/平方米）</v>
      </c>
      <c r="Q50" s="3317"/>
      <c r="R50" s="3318">
        <f>IF(F1="售价",ROUND(AVERAGE(R49:V49),0),ROUND(AVERAGE(R49:V49),1))</f>
        <v>48125</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0.16731182795698918</v>
      </c>
      <c r="F53" s="501" t="str">
        <f>IF(OR(E53&gt;=0.3,E53&lt;=-0.3),"超过30%","")</f>
        <v/>
      </c>
      <c r="G53" s="500">
        <f>IF(G48&lt;G49,G49/G48-1,G48/G49-1)</f>
        <v>0.11967631083028496</v>
      </c>
      <c r="H53" s="501" t="str">
        <f>IF(OR(G53&gt;=0.3,G53&lt;=-0.3),"超过30%","")</f>
        <v/>
      </c>
      <c r="I53" s="500">
        <f>IF(I48&lt;I49,I49/I48-1,I48/I49-1)</f>
        <v>7.5770609318996485E-2</v>
      </c>
      <c r="J53" s="501" t="str">
        <f>IF(OR(I53&gt;=0.3,I53&lt;=-0.3),"超过30%","")</f>
        <v/>
      </c>
      <c r="K53" s="1109"/>
      <c r="L53" s="1110"/>
      <c r="M53" s="1148"/>
      <c r="N53" s="1148"/>
      <c r="O53" s="1148"/>
    </row>
    <row r="54" spans="1:29" ht="13.5" customHeight="1">
      <c r="A54" s="1148"/>
      <c r="B54" s="1148"/>
      <c r="C54" s="498" t="s">
        <v>2581</v>
      </c>
      <c r="D54" s="502"/>
      <c r="E54" s="500">
        <f>IF(E49&lt;G49,G49/E49-1,E49/G49-1)</f>
        <v>3.3795955129779731E-2</v>
      </c>
      <c r="F54" s="501" t="str">
        <f>IF(OR(E54&gt;=0.2,E54&lt;=-0.2),"超过20%","")</f>
        <v/>
      </c>
      <c r="G54" s="500">
        <f>IF(G49&lt;I49,I49/G49-1,G49/I49-1)</f>
        <v>0.12176539836964961</v>
      </c>
      <c r="H54" s="501" t="str">
        <f>IF(OR(G54&gt;=0.2,G54&lt;=-0.2),"超过20%","")</f>
        <v/>
      </c>
      <c r="I54" s="500">
        <f>IF(I49&lt;E49,E49/I49-1,I49/E49-1)</f>
        <v>8.5093622975944472E-2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30" t="str">
        <f>项目基本情况!S2</f>
        <v>北京市朝阳区东三环中路20、24号楼2幢商业用房房地产房地产</v>
      </c>
      <c r="B2" s="3231"/>
      <c r="C2" s="3231"/>
      <c r="D2" s="3231"/>
      <c r="E2" s="3231"/>
      <c r="F2" s="3231"/>
      <c r="G2" s="3231"/>
      <c r="H2" s="3231"/>
      <c r="I2" s="3232"/>
    </row>
    <row r="3" spans="1:12" ht="12.75">
      <c r="A3" s="3234" t="s">
        <v>2122</v>
      </c>
      <c r="B3" s="3235"/>
      <c r="C3" s="3235"/>
      <c r="D3" s="3235"/>
      <c r="E3" s="3235"/>
      <c r="F3" s="3235"/>
      <c r="G3" s="3235"/>
      <c r="H3" s="3235"/>
      <c r="I3" s="3235"/>
    </row>
    <row r="4" spans="1:12" ht="14.25">
      <c r="A4" s="2426" t="s">
        <v>2123</v>
      </c>
      <c r="B4" s="2427" t="s">
        <v>2124</v>
      </c>
      <c r="C4" s="2428"/>
      <c r="D4" s="2428"/>
      <c r="E4" s="3227" t="s">
        <v>2125</v>
      </c>
      <c r="F4" s="3228"/>
      <c r="G4" s="3228"/>
      <c r="H4" s="3228"/>
      <c r="I4" s="3236"/>
      <c r="K4" s="2429" t="str">
        <f>IF(ISNUMBER(FIND("比较法",'结果表-办公未租'!C4)),"比较法",IF(ISNUMBER(FIND("成本法",'结果表-办公未租'!C4)),"成本法",IF(ISNUMBER(FIND("假设开发法",'结果表-办公未租'!C4)),"假设开发法",IF(ISNUMBER(FIND("收益法",'结果表-办公未租'!C4)),"收益法","基准地价系数修正法"))))</f>
        <v>基准地价系数修正法</v>
      </c>
      <c r="L4" s="2429" t="str">
        <f>IF(ISNUMBER(FIND("比较法",'结果表-办公未租'!D4)),"比较法",IF(ISNUMBER(FIND("成本法",'结果表-办公未租'!D4)),"成本法",IF(ISNUMBER(FIND("假设开发法",'结果表-办公未租'!D4)),"假设开发法",IF(ISNUMBER(FIND("收益法",'结果表-办公未租'!D4)),"收益法","基准地价系数修正法"))))</f>
        <v>基准地价系数修正法</v>
      </c>
    </row>
    <row r="5" spans="1:12" ht="12.75">
      <c r="A5" s="3210" t="s">
        <v>2126</v>
      </c>
      <c r="B5" s="3148">
        <v>25</v>
      </c>
      <c r="C5" s="3213"/>
      <c r="D5" s="3233"/>
      <c r="E5" s="140" t="s">
        <v>2127</v>
      </c>
      <c r="F5" s="2430"/>
      <c r="G5" s="2430"/>
      <c r="H5" s="2430"/>
      <c r="I5" s="1836"/>
    </row>
    <row r="6" spans="1:12" ht="12.75">
      <c r="A6" s="3210"/>
      <c r="B6" s="3148"/>
      <c r="C6" s="3214"/>
      <c r="D6" s="3233"/>
      <c r="E6" s="140" t="s">
        <v>2128</v>
      </c>
      <c r="F6" s="2430"/>
      <c r="G6" s="2430"/>
      <c r="H6" s="2430"/>
      <c r="I6" s="1836"/>
    </row>
    <row r="7" spans="1:12" ht="12.75">
      <c r="A7" s="3210"/>
      <c r="B7" s="3148"/>
      <c r="C7" s="3215"/>
      <c r="D7" s="3233"/>
      <c r="E7" s="140" t="s">
        <v>2129</v>
      </c>
      <c r="F7" s="2430"/>
      <c r="G7" s="2430"/>
      <c r="H7" s="2430"/>
      <c r="I7" s="1836"/>
    </row>
    <row r="8" spans="1:12" ht="12.75">
      <c r="A8" s="3210" t="s">
        <v>2130</v>
      </c>
      <c r="B8" s="3148">
        <v>15</v>
      </c>
      <c r="C8" s="3213"/>
      <c r="D8" s="3233"/>
      <c r="E8" s="140" t="s">
        <v>2131</v>
      </c>
      <c r="F8" s="2430"/>
      <c r="G8" s="2430"/>
      <c r="H8" s="2430"/>
      <c r="I8" s="1836"/>
    </row>
    <row r="9" spans="1:12" ht="12.75">
      <c r="A9" s="3210"/>
      <c r="B9" s="3148"/>
      <c r="C9" s="3215"/>
      <c r="D9" s="3233"/>
      <c r="E9" s="140" t="s">
        <v>2132</v>
      </c>
      <c r="F9" s="2430"/>
      <c r="G9" s="2430"/>
      <c r="H9" s="2430"/>
      <c r="I9" s="1836"/>
    </row>
    <row r="10" spans="1:12" ht="12.75">
      <c r="A10" s="3210" t="s">
        <v>2133</v>
      </c>
      <c r="B10" s="3148">
        <v>15</v>
      </c>
      <c r="C10" s="3213"/>
      <c r="D10" s="3233"/>
      <c r="E10" s="140" t="s">
        <v>2134</v>
      </c>
      <c r="F10" s="2430"/>
      <c r="G10" s="2430"/>
      <c r="H10" s="2430"/>
      <c r="I10" s="1836"/>
    </row>
    <row r="11" spans="1:12" ht="12.75">
      <c r="A11" s="3210"/>
      <c r="B11" s="3148"/>
      <c r="C11" s="3215"/>
      <c r="D11" s="3233"/>
      <c r="E11" s="140" t="s">
        <v>2135</v>
      </c>
      <c r="F11" s="2430"/>
      <c r="G11" s="2430"/>
      <c r="H11" s="2430"/>
      <c r="I11" s="1836"/>
    </row>
    <row r="12" spans="1:12" ht="12.75">
      <c r="A12" s="3210" t="s">
        <v>2136</v>
      </c>
      <c r="B12" s="3148">
        <v>15</v>
      </c>
      <c r="C12" s="3213"/>
      <c r="D12" s="3233"/>
      <c r="E12" s="140" t="s">
        <v>2137</v>
      </c>
      <c r="F12" s="2430"/>
      <c r="G12" s="2430"/>
      <c r="H12" s="2430"/>
      <c r="I12" s="1836"/>
    </row>
    <row r="13" spans="1:12" ht="12.75">
      <c r="A13" s="3210"/>
      <c r="B13" s="3148"/>
      <c r="C13" s="3215"/>
      <c r="D13" s="3233"/>
      <c r="E13" s="140" t="s">
        <v>2138</v>
      </c>
      <c r="F13" s="2430"/>
      <c r="G13" s="2430"/>
      <c r="H13" s="2430"/>
      <c r="I13" s="1836"/>
    </row>
    <row r="14" spans="1:12" ht="12.75">
      <c r="A14" s="3210" t="s">
        <v>2139</v>
      </c>
      <c r="B14" s="3148">
        <v>30</v>
      </c>
      <c r="C14" s="3213"/>
      <c r="D14" s="3233"/>
      <c r="E14" s="140" t="s">
        <v>2140</v>
      </c>
      <c r="F14" s="2430"/>
      <c r="G14" s="2430"/>
      <c r="H14" s="2430"/>
      <c r="I14" s="1836"/>
    </row>
    <row r="15" spans="1:12" ht="12.75">
      <c r="A15" s="3210"/>
      <c r="B15" s="3148"/>
      <c r="C15" s="3214"/>
      <c r="D15" s="3233"/>
      <c r="E15" s="140" t="s">
        <v>2141</v>
      </c>
      <c r="F15" s="2430"/>
      <c r="G15" s="2430"/>
      <c r="H15" s="2430"/>
      <c r="I15" s="1836"/>
    </row>
    <row r="16" spans="1:12" ht="12.75">
      <c r="A16" s="3210"/>
      <c r="B16" s="3148"/>
      <c r="C16" s="3215"/>
      <c r="D16" s="3233"/>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SUMIF(INDIRECT("'"&amp;C4&amp;"'"&amp;"!A:A"),'结果表-办公未租'!B19,INDIRECT("'"&amp;C4&amp;"'"&amp;"!B:B"))</f>
        <v>#REF!</v>
      </c>
      <c r="D19" s="144" t="e">
        <f ca="1">SUMIF(INDIRECT("'"&amp;D4&amp;"'"&amp;"!A:A"),'结果表-办公未租'!B19,INDIRECT("'"&amp;D4&amp;"'"&amp;"!B:B"))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SUMIF(INDIRECT("'"&amp;C4&amp;"'"&amp;"!A:A"),'结果表-办公未租'!B20,INDIRECT("'"&amp;C4&amp;"'"&amp;"!B:B"))</f>
        <v>#REF!</v>
      </c>
      <c r="D20" s="147" t="e">
        <f ca="1">SUMIF(INDIRECT("'"&amp;D4&amp;"'"&amp;"!A:A"),'结果表-办公未租'!B20,INDIRECT("'"&amp;D4&amp;"'"&amp;"!B:B"))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04" t="s">
        <v>2157</v>
      </c>
      <c r="B24" s="2436" t="s">
        <v>2149</v>
      </c>
      <c r="C24" s="145">
        <f>IF(B30=0,0,D30)</f>
        <v>0</v>
      </c>
      <c r="D24" s="2443"/>
      <c r="E24" s="138"/>
      <c r="F24" s="138"/>
      <c r="G24" s="138"/>
      <c r="H24" s="138"/>
      <c r="I24" s="138"/>
    </row>
    <row r="25" spans="1:35" ht="14.25">
      <c r="A25" s="3205"/>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22" t="s">
        <v>2171</v>
      </c>
      <c r="B36" s="2462" t="s">
        <v>2172</v>
      </c>
      <c r="C36" s="155"/>
      <c r="D36" s="2463"/>
      <c r="E36" s="2464"/>
      <c r="F36" s="2465"/>
      <c r="G36" s="138"/>
      <c r="H36" s="138"/>
      <c r="I36" s="138"/>
    </row>
    <row r="37" spans="1:15" ht="15.75" thickBot="1">
      <c r="A37" s="3223"/>
      <c r="B37" s="2267" t="s">
        <v>2173</v>
      </c>
      <c r="C37" s="157"/>
      <c r="D37" s="1396"/>
      <c r="E37" s="1396"/>
      <c r="F37" s="2465"/>
      <c r="G37" s="138"/>
      <c r="H37" s="138"/>
      <c r="I37" s="138"/>
    </row>
    <row r="38" spans="1:15" ht="15.75" thickBot="1">
      <c r="A38" s="3224"/>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01" t="s">
        <v>2185</v>
      </c>
      <c r="B45" s="3202"/>
      <c r="C45" s="3203"/>
      <c r="D45" s="165" t="e">
        <f ca="1">ROUND(H101*F45,0)</f>
        <v>#REF!</v>
      </c>
      <c r="E45" s="166" t="s">
        <v>2186</v>
      </c>
      <c r="F45" s="167">
        <v>1</v>
      </c>
      <c r="G45" s="168" t="s">
        <v>2187</v>
      </c>
      <c r="H45" s="138"/>
      <c r="I45" s="138"/>
      <c r="J45" s="3261" t="s">
        <v>2188</v>
      </c>
      <c r="K45" s="3261"/>
      <c r="L45" s="3261"/>
      <c r="M45" s="3261"/>
      <c r="N45" s="3261"/>
      <c r="O45" s="3261"/>
    </row>
    <row r="46" spans="1:15" ht="14.25" customHeight="1">
      <c r="A46" s="3198" t="s">
        <v>2189</v>
      </c>
      <c r="B46" s="3199"/>
      <c r="C46" s="3199"/>
      <c r="D46" s="3199"/>
      <c r="E46" s="3199"/>
      <c r="F46" s="3199"/>
      <c r="G46" s="3200"/>
      <c r="H46" s="2481"/>
      <c r="I46" s="169"/>
      <c r="J46" s="2970">
        <v>1</v>
      </c>
      <c r="K46" s="3261" t="s">
        <v>2190</v>
      </c>
      <c r="L46" s="3261"/>
      <c r="M46" s="3281"/>
      <c r="N46" s="3281"/>
      <c r="O46" s="3281"/>
    </row>
    <row r="47" spans="1:15" ht="12" customHeight="1">
      <c r="A47" s="170" t="s">
        <v>2191</v>
      </c>
      <c r="B47" s="171"/>
      <c r="C47" s="172"/>
      <c r="D47" s="173" t="s">
        <v>2192</v>
      </c>
      <c r="E47" s="24" t="s">
        <v>2193</v>
      </c>
      <c r="F47" s="174" t="s">
        <v>2194</v>
      </c>
      <c r="G47" s="175" t="s">
        <v>2195</v>
      </c>
      <c r="H47" s="2481"/>
      <c r="I47" s="169"/>
      <c r="J47" s="2970">
        <v>2</v>
      </c>
      <c r="K47" s="3261" t="s">
        <v>2196</v>
      </c>
      <c r="L47" s="3261"/>
      <c r="M47" s="3282">
        <f>'数据-取费表'!B2</f>
        <v>43104</v>
      </c>
      <c r="N47" s="3282"/>
      <c r="O47" s="3282"/>
    </row>
    <row r="48" spans="1:15" ht="25.5">
      <c r="A48" s="3229" t="s">
        <v>2197</v>
      </c>
      <c r="B48" s="3212"/>
      <c r="C48" s="3212"/>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261" t="s">
        <v>2200</v>
      </c>
      <c r="L48" s="3261"/>
      <c r="M48" s="3283" t="e">
        <f ca="1">H101</f>
        <v>#REF!</v>
      </c>
      <c r="N48" s="3283"/>
      <c r="O48" s="3283"/>
    </row>
    <row r="49" spans="1:35" ht="25.5" customHeight="1">
      <c r="A49" s="177" t="s">
        <v>2201</v>
      </c>
      <c r="B49" s="3197" t="s">
        <v>2202</v>
      </c>
      <c r="C49" s="3197"/>
      <c r="D49" s="178">
        <v>0</v>
      </c>
      <c r="E49" s="23" t="s">
        <v>2203</v>
      </c>
      <c r="F49" s="28" t="s">
        <v>34</v>
      </c>
      <c r="G49" s="3267"/>
      <c r="H49" s="138"/>
      <c r="I49" s="2484"/>
      <c r="J49" s="2970">
        <v>4</v>
      </c>
      <c r="K49" s="3261" t="str">
        <f>IF(项目基本情况!E8="房地产抵押价值","房地产抵押价值","抵押担保权已注销时的房地产抵押价值")</f>
        <v>房地产抵押价值</v>
      </c>
      <c r="L49" s="3261"/>
      <c r="M49" s="3283" t="e">
        <f ca="1">IF(项目基本情况!E8="房地产抵押价值",H107,H109)</f>
        <v>#REF!</v>
      </c>
      <c r="N49" s="3283"/>
      <c r="O49" s="3283"/>
    </row>
    <row r="50" spans="1:35" ht="25.5" customHeight="1">
      <c r="A50" s="179"/>
      <c r="B50" s="3197" t="s">
        <v>2204</v>
      </c>
      <c r="C50" s="3197"/>
      <c r="D50" s="180"/>
      <c r="E50" s="31"/>
      <c r="F50" s="181"/>
      <c r="G50" s="3268"/>
      <c r="H50" s="138"/>
      <c r="I50" s="2484"/>
      <c r="J50" s="3261" t="s">
        <v>2205</v>
      </c>
      <c r="K50" s="3261"/>
      <c r="L50" s="3261"/>
      <c r="M50" s="3261"/>
      <c r="N50" s="3261"/>
      <c r="O50" s="3261"/>
    </row>
    <row r="51" spans="1:35" ht="12" customHeight="1">
      <c r="A51" s="182"/>
      <c r="B51" s="3197" t="s">
        <v>2206</v>
      </c>
      <c r="C51" s="3197"/>
      <c r="D51" s="183"/>
      <c r="E51" s="30"/>
      <c r="F51" s="181"/>
      <c r="G51" s="3269"/>
      <c r="H51" s="138"/>
      <c r="I51" s="2484"/>
      <c r="J51" s="2969" t="s">
        <v>2207</v>
      </c>
      <c r="K51" s="3261" t="s">
        <v>2208</v>
      </c>
      <c r="L51" s="3261"/>
      <c r="M51" s="2969" t="s">
        <v>2209</v>
      </c>
      <c r="N51" s="2969" t="s">
        <v>2210</v>
      </c>
      <c r="O51" s="2969" t="s">
        <v>2211</v>
      </c>
    </row>
    <row r="52" spans="1:35" ht="24" customHeight="1">
      <c r="A52" s="184" t="s">
        <v>2212</v>
      </c>
      <c r="B52" s="3197" t="s">
        <v>2213</v>
      </c>
      <c r="C52" s="3197"/>
      <c r="D52" s="183" t="e">
        <f ca="1">ROUND(D45*'数据-取费表'!B41/(1+'数据-取费表'!C42),0)</f>
        <v>#REF!</v>
      </c>
      <c r="E52" s="11" t="s">
        <v>2214</v>
      </c>
      <c r="F52" s="185">
        <f>'数据-取费表'!B41</f>
        <v>5.6000000000000001E-2</v>
      </c>
      <c r="G52" s="2486"/>
      <c r="H52" s="138"/>
      <c r="I52" s="2484"/>
      <c r="J52" s="2970">
        <v>1</v>
      </c>
      <c r="K52" s="3262" t="s">
        <v>2215</v>
      </c>
      <c r="L52" s="3262"/>
      <c r="M52" s="1756">
        <f>D48</f>
        <v>0</v>
      </c>
      <c r="N52" s="2970" t="str">
        <f>E48</f>
        <v>销售额×税（费）率</v>
      </c>
      <c r="O52" s="1757" t="str">
        <f>F48</f>
        <v>免征</v>
      </c>
    </row>
    <row r="53" spans="1:35" ht="12" customHeight="1">
      <c r="A53" s="184" t="s">
        <v>2216</v>
      </c>
      <c r="B53" s="3220" t="s">
        <v>2217</v>
      </c>
      <c r="C53" s="3221"/>
      <c r="D53" s="183" t="e">
        <f ca="1">ROUND(D45*'数据-取费表'!B41/(1+'数据-取费表'!C42),0)</f>
        <v>#REF!</v>
      </c>
      <c r="E53" s="11" t="s">
        <v>2214</v>
      </c>
      <c r="F53" s="185">
        <f>'数据-取费表'!B41</f>
        <v>5.6000000000000001E-2</v>
      </c>
      <c r="G53" s="2486"/>
      <c r="H53" s="138"/>
      <c r="I53" s="2484"/>
      <c r="J53" s="2970">
        <v>2</v>
      </c>
      <c r="K53" s="3262" t="s">
        <v>2218</v>
      </c>
      <c r="L53" s="3262"/>
      <c r="M53" s="1756" t="e">
        <f t="shared" ref="M53:O54" ca="1" si="0">D55</f>
        <v>#REF!</v>
      </c>
      <c r="N53" s="2970" t="str">
        <f t="shared" si="0"/>
        <v>销售额×税（费）率</v>
      </c>
      <c r="O53" s="1757">
        <f t="shared" si="0"/>
        <v>5.0000000000000001E-4</v>
      </c>
    </row>
    <row r="54" spans="1:35" ht="12" customHeight="1">
      <c r="A54" s="184" t="s">
        <v>2219</v>
      </c>
      <c r="B54" s="3220" t="s">
        <v>2220</v>
      </c>
      <c r="C54" s="3221"/>
      <c r="D54" s="183" t="e">
        <f ca="1">C68</f>
        <v>#REF!</v>
      </c>
      <c r="E54" s="30" t="s">
        <v>2221</v>
      </c>
      <c r="F54" s="185">
        <f>'数据-取费表'!B41</f>
        <v>5.6000000000000001E-2</v>
      </c>
      <c r="G54" s="2486"/>
      <c r="H54" s="2487"/>
      <c r="I54" s="2484"/>
      <c r="J54" s="2970">
        <v>3</v>
      </c>
      <c r="K54" s="3262" t="s">
        <v>2222</v>
      </c>
      <c r="L54" s="3262"/>
      <c r="M54" s="1756" t="e">
        <f t="shared" ca="1" si="0"/>
        <v>#REF!</v>
      </c>
      <c r="N54" s="2970" t="str">
        <f t="shared" si="0"/>
        <v>增值额×税（费）率</v>
      </c>
      <c r="O54" s="1758" t="str">
        <f t="shared" si="0"/>
        <v>——</v>
      </c>
    </row>
    <row r="55" spans="1:35" ht="24" customHeight="1">
      <c r="A55" s="3211" t="s">
        <v>2223</v>
      </c>
      <c r="B55" s="3212"/>
      <c r="C55" s="3212"/>
      <c r="D55" s="186" t="e">
        <f ca="1">IF(H55="个人住宅",0,ROUND(D45*I55,0))</f>
        <v>#REF!</v>
      </c>
      <c r="E55" s="11" t="s">
        <v>2224</v>
      </c>
      <c r="F55" s="185">
        <f>IF(H55="正常",I55,"免征")</f>
        <v>5.0000000000000001E-4</v>
      </c>
      <c r="G55" s="2486"/>
      <c r="H55" s="2483" t="s">
        <v>2225</v>
      </c>
      <c r="I55" s="187">
        <f>'数据-取费表'!B49</f>
        <v>5.0000000000000001E-4</v>
      </c>
      <c r="J55" s="2970" t="str">
        <f>IF(H59="非个人房产","",4)</f>
        <v/>
      </c>
      <c r="K55" s="3262" t="str">
        <f>IF(H59="非个人房产","——","个人所得税")</f>
        <v>——</v>
      </c>
      <c r="L55" s="3262"/>
      <c r="M55" s="1759" t="str">
        <f>D59</f>
        <v>——</v>
      </c>
      <c r="N55" s="2971" t="str">
        <f>E59</f>
        <v>——</v>
      </c>
      <c r="O55" s="1760" t="str">
        <f>F59</f>
        <v>——</v>
      </c>
    </row>
    <row r="56" spans="1:35" ht="24.75">
      <c r="A56" s="3211" t="s">
        <v>2226</v>
      </c>
      <c r="B56" s="3212"/>
      <c r="C56" s="3212"/>
      <c r="D56" s="186" t="e">
        <f ca="1">IF(H56="个人住宅",D57,D58)</f>
        <v>#REF!</v>
      </c>
      <c r="E56" s="11" t="s">
        <v>2227</v>
      </c>
      <c r="F56" s="185" t="str">
        <f>IF(H56="正常",F58,"免征")</f>
        <v>——</v>
      </c>
      <c r="G56" s="2488" t="s">
        <v>2228</v>
      </c>
      <c r="H56" s="2489" t="s">
        <v>2225</v>
      </c>
      <c r="I56" s="2490"/>
      <c r="J56" s="2970" t="str">
        <f>IF(项目基本情况!K6="上海银行",IF(J55="",4,J55+1),"")</f>
        <v/>
      </c>
      <c r="K56" s="3285" t="str">
        <f>IF(项目基本情况!K6="上海银行","其他处置费用","")</f>
        <v/>
      </c>
      <c r="L56" s="3286"/>
      <c r="M56" s="1756" t="str">
        <f>IF(项目基本情况!K6="上海银行",M69,"")</f>
        <v/>
      </c>
      <c r="N56" s="3288" t="str">
        <f>IF(项目基本情况!K6="上海银行","包含处置中涉及的律师、诉讼、拍卖、评估等费用","")</f>
        <v/>
      </c>
      <c r="O56" s="3289"/>
    </row>
    <row r="57" spans="1:35" ht="12.75">
      <c r="A57" s="184" t="s">
        <v>2201</v>
      </c>
      <c r="B57" s="3227" t="s">
        <v>2229</v>
      </c>
      <c r="C57" s="3236"/>
      <c r="D57" s="188">
        <v>0</v>
      </c>
      <c r="E57" s="23" t="s">
        <v>2203</v>
      </c>
      <c r="F57" s="156"/>
      <c r="G57" s="2486"/>
      <c r="H57" s="2490"/>
      <c r="I57" s="2490"/>
      <c r="J57" s="3262">
        <f>IF(AND(J55="",J56=""),4,IF(项目基本情况!K6="上海银行",'结果表-办公未租'!J56+1,'结果表-办公未租'!J55+1))</f>
        <v>4</v>
      </c>
      <c r="K57" s="3262" t="s">
        <v>2230</v>
      </c>
      <c r="L57" s="2491" t="s">
        <v>2231</v>
      </c>
      <c r="M57" s="1761"/>
      <c r="N57" s="1762">
        <f ca="1">SUMIF(M52:M56,"&lt;9e307")</f>
        <v>0</v>
      </c>
      <c r="O57" s="2492"/>
      <c r="P57" s="1755" t="e">
        <f ca="1">N57/M49</f>
        <v>#REF!</v>
      </c>
    </row>
    <row r="58" spans="1:35" ht="24.75">
      <c r="A58" s="184" t="s">
        <v>2212</v>
      </c>
      <c r="B58" s="3227" t="s">
        <v>2232</v>
      </c>
      <c r="C58" s="3228"/>
      <c r="D58" s="186" t="e">
        <f ca="1">IF(H58="转让取得",C81,C97)</f>
        <v>#REF!</v>
      </c>
      <c r="E58" s="11" t="s">
        <v>2227</v>
      </c>
      <c r="F58" s="24" t="s">
        <v>34</v>
      </c>
      <c r="G58" s="2486"/>
      <c r="H58" s="2489" t="s">
        <v>2233</v>
      </c>
      <c r="I58" s="2490"/>
      <c r="J58" s="3262"/>
      <c r="K58" s="3262"/>
      <c r="L58" s="2491" t="s">
        <v>2234</v>
      </c>
      <c r="M58" s="1763"/>
      <c r="N58" s="2493" t="str">
        <f ca="1">NUMBERSTRING(INT(N57*10000),2)&amp;"元整"</f>
        <v>零元整</v>
      </c>
      <c r="O58" s="2494"/>
    </row>
    <row r="59" spans="1:35" ht="24.75" thickBot="1">
      <c r="A59" s="3265" t="s">
        <v>2235</v>
      </c>
      <c r="B59" s="3266"/>
      <c r="C59" s="3266"/>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63">
        <f>J57+1</f>
        <v>5</v>
      </c>
      <c r="K59" s="3262" t="s">
        <v>2237</v>
      </c>
      <c r="L59" s="2970" t="s">
        <v>2231</v>
      </c>
      <c r="M59" s="1764"/>
      <c r="N59" s="1765" t="e">
        <f ca="1">M49-N57</f>
        <v>#REF!</v>
      </c>
      <c r="O59" s="2496"/>
    </row>
    <row r="60" spans="1:35" ht="12" customHeight="1">
      <c r="A60" s="2497"/>
      <c r="B60" s="2419"/>
      <c r="C60" s="2419"/>
      <c r="D60" s="2419"/>
      <c r="E60" s="2167"/>
      <c r="F60" s="2490"/>
      <c r="G60" s="2490"/>
      <c r="H60" s="2498"/>
      <c r="I60" s="138"/>
      <c r="J60" s="3264"/>
      <c r="K60" s="3262"/>
      <c r="L60" s="2491" t="s">
        <v>2234</v>
      </c>
      <c r="M60" s="1763"/>
      <c r="N60" s="2493" t="e">
        <f ca="1">NUMBERSTRING(INT(N59*10000),2)&amp;"元整"</f>
        <v>#REF!</v>
      </c>
      <c r="O60" s="2494"/>
    </row>
    <row r="61" spans="1:35" ht="13.5" thickBot="1">
      <c r="A61" s="3209" t="s">
        <v>2238</v>
      </c>
      <c r="B61" s="3209"/>
      <c r="C61" s="3209"/>
      <c r="D61" s="3209"/>
      <c r="E61" s="3209"/>
      <c r="F61" s="2490"/>
      <c r="G61" s="2490"/>
      <c r="H61" s="2498"/>
      <c r="I61" s="138"/>
      <c r="J61" s="2970">
        <f>J59+1</f>
        <v>6</v>
      </c>
      <c r="K61" s="3262" t="s">
        <v>2239</v>
      </c>
      <c r="L61" s="3262"/>
      <c r="M61" s="1766"/>
      <c r="N61" s="1767" t="e">
        <f ca="1">ROUND(N59*10000/'数据-汇总表'!E3,0)</f>
        <v>#REF!</v>
      </c>
      <c r="O61" s="2499"/>
    </row>
    <row r="62" spans="1:35" ht="12.75">
      <c r="A62" s="3225" t="s">
        <v>2240</v>
      </c>
      <c r="B62" s="3226"/>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87"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87"/>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87"/>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87"/>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87"/>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87"/>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87"/>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6" t="s">
        <v>2259</v>
      </c>
      <c r="B70" s="3247"/>
      <c r="C70" s="3247"/>
      <c r="D70" s="3247"/>
      <c r="E70" s="3247"/>
      <c r="F70" s="3247"/>
      <c r="G70" s="3247"/>
      <c r="H70" s="32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25" t="s">
        <v>2240</v>
      </c>
      <c r="B71" s="3226"/>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20" t="s">
        <v>2268</v>
      </c>
      <c r="F76" s="3197"/>
      <c r="G76" s="3197"/>
      <c r="H76" s="32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06" t="s">
        <v>2273</v>
      </c>
      <c r="F78" s="3207"/>
      <c r="G78" s="3207"/>
      <c r="H78" s="321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6" t="s">
        <v>2277</v>
      </c>
      <c r="B83" s="3247"/>
      <c r="C83" s="3247"/>
      <c r="D83" s="3247"/>
      <c r="E83" s="3247"/>
      <c r="F83" s="3247"/>
      <c r="G83" s="3247"/>
      <c r="H83" s="32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25" t="s">
        <v>2240</v>
      </c>
      <c r="B84" s="3226"/>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06" t="s">
        <v>2286</v>
      </c>
      <c r="F91" s="3207"/>
      <c r="G91" s="3207"/>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06" t="s">
        <v>2290</v>
      </c>
      <c r="F92" s="3207"/>
      <c r="G92" s="3207"/>
      <c r="H92" s="321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06" t="s">
        <v>2273</v>
      </c>
      <c r="F93" s="3207"/>
      <c r="G93" s="3207"/>
      <c r="H93" s="321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17" t="s">
        <v>2294</v>
      </c>
      <c r="F94" s="3218"/>
      <c r="G94" s="3218"/>
      <c r="H94" s="321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91" t="s">
        <v>2296</v>
      </c>
      <c r="B100" s="3192"/>
      <c r="C100" s="3192"/>
      <c r="D100" s="3208"/>
      <c r="E100" s="3192" t="s">
        <v>2297</v>
      </c>
      <c r="F100" s="3192"/>
      <c r="G100" s="3192"/>
      <c r="H100" s="3208"/>
      <c r="I100" s="138"/>
    </row>
    <row r="101" spans="1:35" ht="18.75" customHeight="1">
      <c r="A101" s="3270" t="s">
        <v>2298</v>
      </c>
      <c r="B101" s="3271"/>
      <c r="C101" s="737">
        <f>C4</f>
        <v>0</v>
      </c>
      <c r="D101" s="738">
        <f>D4</f>
        <v>0</v>
      </c>
      <c r="E101" s="3284" t="s">
        <v>2299</v>
      </c>
      <c r="F101" s="3238"/>
      <c r="G101" s="2521" t="s">
        <v>2300</v>
      </c>
      <c r="H101" s="1049" t="e">
        <f ca="1">H118</f>
        <v>#REF!</v>
      </c>
      <c r="I101" s="138"/>
    </row>
    <row r="102" spans="1:35" ht="18.75" customHeight="1">
      <c r="A102" s="3240" t="s">
        <v>2301</v>
      </c>
      <c r="B102" s="2521" t="s">
        <v>2300</v>
      </c>
      <c r="C102" s="737" t="e">
        <f ca="1">C19</f>
        <v>#REF!</v>
      </c>
      <c r="D102" s="738" t="e">
        <f ca="1">D19</f>
        <v>#REF!</v>
      </c>
      <c r="E102" s="3284"/>
      <c r="F102" s="3238"/>
      <c r="G102" s="2521" t="s">
        <v>2302</v>
      </c>
      <c r="H102" s="372" t="e">
        <f ca="1">I118</f>
        <v>#REF!</v>
      </c>
      <c r="I102" s="138"/>
    </row>
    <row r="103" spans="1:35" ht="42.75" customHeight="1">
      <c r="A103" s="3240"/>
      <c r="B103" s="2521" t="s">
        <v>2302</v>
      </c>
      <c r="C103" s="739" t="e">
        <f ca="1">C20</f>
        <v>#REF!</v>
      </c>
      <c r="D103" s="740" t="e">
        <f ca="1">D20</f>
        <v>#REF!</v>
      </c>
      <c r="E103" s="3279" t="s">
        <v>2303</v>
      </c>
      <c r="F103" s="3280"/>
      <c r="G103" s="2522" t="s">
        <v>2304</v>
      </c>
      <c r="H103" s="1049">
        <f>IF(D36="正常操作",H104+H105+H106,H105+H106)</f>
        <v>0</v>
      </c>
      <c r="I103" s="138"/>
    </row>
    <row r="104" spans="1:35" ht="18.75" customHeight="1">
      <c r="A104" s="3240"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41"/>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7" t="str">
        <f>IF(项目基本情况!E8="已注销","——","3.房地产抵押价值")</f>
        <v>3.房地产抵押价值</v>
      </c>
      <c r="F107" s="3238"/>
      <c r="G107" s="2521" t="s">
        <v>2300</v>
      </c>
      <c r="H107" s="1049" t="e">
        <f ca="1">IF(E107="——","——",H101-H103)</f>
        <v>#REF!</v>
      </c>
      <c r="I107" s="138"/>
    </row>
    <row r="108" spans="1:35" ht="18.75" customHeight="1">
      <c r="A108" s="138"/>
      <c r="B108" s="138"/>
      <c r="C108" s="138"/>
      <c r="D108" s="138"/>
      <c r="E108" s="3237"/>
      <c r="F108" s="3238"/>
      <c r="G108" s="2521" t="s">
        <v>2302</v>
      </c>
      <c r="H108" s="372" t="e">
        <f ca="1">ROUND(H107*10000/'数据-汇总表'!E3,0)</f>
        <v>#REF!</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521" t="s">
        <v>2300</v>
      </c>
      <c r="H109" s="349" t="str">
        <f>IF(E109="——","——",H101-H105-H106)</f>
        <v>——</v>
      </c>
      <c r="I109" s="138"/>
    </row>
    <row r="110" spans="1:35" ht="18.75" customHeight="1">
      <c r="A110" s="138"/>
      <c r="B110" s="138"/>
      <c r="C110" s="138"/>
      <c r="D110" s="138"/>
      <c r="E110" s="3237"/>
      <c r="F110" s="3238"/>
      <c r="G110" s="2521" t="s">
        <v>2302</v>
      </c>
      <c r="H110" s="372"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v>
      </c>
      <c r="F111" s="3273"/>
      <c r="G111" s="2521" t="s">
        <v>2300</v>
      </c>
      <c r="H111" s="1049" t="str">
        <f>IF(E111="——","——",N59)</f>
        <v>——</v>
      </c>
      <c r="I111" s="138"/>
    </row>
    <row r="112" spans="1:35" ht="18.75" customHeight="1" thickBot="1">
      <c r="A112" s="138"/>
      <c r="B112" s="138"/>
      <c r="C112" s="138"/>
      <c r="D112" s="138"/>
      <c r="E112" s="3274"/>
      <c r="F112" s="3275"/>
      <c r="G112" s="2526" t="s">
        <v>2302</v>
      </c>
      <c r="H112" s="791" t="str">
        <f>IF(E111="——","——",N61)</f>
        <v>——</v>
      </c>
      <c r="I112" s="138"/>
    </row>
    <row r="113" spans="1:11" ht="18.75" customHeight="1">
      <c r="A113" s="138"/>
      <c r="B113" s="138"/>
      <c r="C113" s="138"/>
      <c r="D113" s="138"/>
      <c r="E113" s="3242" t="s">
        <v>2308</v>
      </c>
      <c r="F113" s="3242"/>
      <c r="G113" s="3242"/>
      <c r="H113" s="3242"/>
      <c r="I113" s="138"/>
    </row>
    <row r="114" spans="1:11" ht="3.75" customHeight="1">
      <c r="A114" s="2419"/>
      <c r="B114" s="2419"/>
      <c r="C114" s="2419"/>
      <c r="D114" s="2419"/>
      <c r="E114" s="2497"/>
      <c r="F114" s="2497"/>
      <c r="G114" s="2497"/>
      <c r="H114" s="2497"/>
      <c r="I114" s="2419"/>
    </row>
    <row r="115" spans="1:11" ht="18.75" customHeight="1">
      <c r="A115" s="3255" t="s">
        <v>2310</v>
      </c>
      <c r="B115" s="3256"/>
      <c r="C115" s="3256"/>
      <c r="D115" s="3256"/>
      <c r="E115" s="3256"/>
      <c r="F115" s="3256"/>
      <c r="G115" s="3256"/>
      <c r="H115" s="3256"/>
      <c r="I115" s="3257"/>
    </row>
    <row r="116" spans="1:11" ht="27" customHeight="1">
      <c r="A116" s="3148" t="s">
        <v>2311</v>
      </c>
      <c r="B116" s="3243" t="s">
        <v>2312</v>
      </c>
      <c r="C116" s="3243" t="s">
        <v>2313</v>
      </c>
      <c r="D116" s="3259" t="s">
        <v>2314</v>
      </c>
      <c r="E116" s="3260"/>
      <c r="F116" s="3251" t="s">
        <v>2315</v>
      </c>
      <c r="G116" s="3251"/>
      <c r="H116" s="3148" t="s">
        <v>2316</v>
      </c>
      <c r="I116" s="3148"/>
    </row>
    <row r="117" spans="1:11" ht="18.75" customHeight="1">
      <c r="A117" s="3148"/>
      <c r="B117" s="3244"/>
      <c r="C117" s="3244"/>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48" t="s">
        <v>2320</v>
      </c>
      <c r="B119" s="3148"/>
      <c r="C119" s="3148"/>
      <c r="D119" s="3248" t="e">
        <f ca="1">NUMBERSTRING(INT(D118*10000),2)&amp;"元整"</f>
        <v>#REF!</v>
      </c>
      <c r="E119" s="3250"/>
      <c r="F119" s="3248" t="e">
        <f ca="1">NUMBERSTRING(INT(F118*10000),2)&amp;"元整"</f>
        <v>#REF!</v>
      </c>
      <c r="G119" s="3250"/>
      <c r="H119" s="3248" t="e">
        <f ca="1">NUMBERSTRING(INT(H118*10000),2)&amp;"元整"</f>
        <v>#REF!</v>
      </c>
      <c r="I119" s="3250"/>
    </row>
    <row r="120" spans="1:11" ht="18.75" customHeight="1">
      <c r="A120" s="3276" t="str">
        <f>IF(项目基本情况!B9="房地产市场价值","",MID(E103,3,LEN(E103)-2))</f>
        <v>估价师知悉的法定优先受偿款</v>
      </c>
      <c r="B120" s="3277"/>
      <c r="C120" s="3278"/>
      <c r="D120" s="3276">
        <f>H103</f>
        <v>0</v>
      </c>
      <c r="E120" s="3277"/>
      <c r="F120" s="3277"/>
      <c r="G120" s="3277"/>
      <c r="H120" s="3277"/>
      <c r="I120" s="3278"/>
      <c r="K120" s="2424" t="str">
        <f>IF(D120=0,"故，本次评估不存在"&amp;A120,"故，本次评估"&amp;A120&amp;"为人民币"&amp;D120&amp;"万元整。")</f>
        <v>故，本次评估不存在估价师知悉的法定优先受偿款</v>
      </c>
    </row>
    <row r="121" spans="1:11" ht="18.75" customHeight="1">
      <c r="A121" s="3252" t="s">
        <v>2320</v>
      </c>
      <c r="B121" s="3253"/>
      <c r="C121" s="3254"/>
      <c r="D121" s="3248" t="str">
        <f>IF(D120=0,"零元整",NUMBERSTRING(INT(D120*10000),2)&amp;"元整")</f>
        <v>零元整</v>
      </c>
      <c r="E121" s="3249"/>
      <c r="F121" s="3249"/>
      <c r="G121" s="3249"/>
      <c r="H121" s="3249"/>
      <c r="I121" s="3250"/>
    </row>
    <row r="122" spans="1:11" ht="18.75" customHeight="1">
      <c r="A122" s="3239" t="str">
        <f>IF(项目基本情况!B9="房地产市场价值","",MID(E107,3,LEN(E107)-2))</f>
        <v>房地产抵押价值</v>
      </c>
      <c r="B122" s="3239"/>
      <c r="C122" s="3239"/>
      <c r="D122" s="3276" t="e">
        <f ca="1">H107</f>
        <v>#REF!</v>
      </c>
      <c r="E122" s="3277"/>
      <c r="F122" s="3277"/>
      <c r="G122" s="3277"/>
      <c r="H122" s="3277"/>
      <c r="I122" s="3278"/>
    </row>
    <row r="123" spans="1:11" ht="18.75" customHeight="1">
      <c r="A123" s="3148" t="s">
        <v>2320</v>
      </c>
      <c r="B123" s="3148"/>
      <c r="C123" s="3148"/>
      <c r="D123" s="3248" t="e">
        <f ca="1">NUMBERSTRING(INT(D122*10000),2)&amp;"元整"</f>
        <v>#REF!</v>
      </c>
      <c r="E123" s="3249"/>
      <c r="F123" s="3249"/>
      <c r="G123" s="3249"/>
      <c r="H123" s="3249"/>
      <c r="I123" s="3250"/>
    </row>
    <row r="124" spans="1:11" ht="18.75" customHeight="1">
      <c r="A124" s="3239" t="str">
        <f>IF(项目基本情况!B9="房地产市场价值","",MID(E109,3,LEN(E109)-2))</f>
        <v/>
      </c>
      <c r="B124" s="3239"/>
      <c r="C124" s="3239"/>
      <c r="D124" s="3276" t="str">
        <f>H109</f>
        <v>——</v>
      </c>
      <c r="E124" s="3277"/>
      <c r="F124" s="3277"/>
      <c r="G124" s="3277"/>
      <c r="H124" s="3277"/>
      <c r="I124" s="3278"/>
    </row>
    <row r="125" spans="1:11" ht="18.75" customHeight="1">
      <c r="A125" s="3148" t="s">
        <v>2320</v>
      </c>
      <c r="B125" s="3148"/>
      <c r="C125" s="3148"/>
      <c r="D125" s="3248" t="e">
        <f>NUMBERSTRING(INT(D124*10000),2)&amp;"元整"</f>
        <v>#VALUE!</v>
      </c>
      <c r="E125" s="3249"/>
      <c r="F125" s="3249"/>
      <c r="G125" s="3249"/>
      <c r="H125" s="3249"/>
      <c r="I125" s="3250"/>
    </row>
    <row r="126" spans="1:11" ht="18.75" customHeight="1">
      <c r="A126" s="3239" t="str">
        <f>IF(项目基本情况!B9="房地产市场价值","",MID(E111,3,LEN(E111)-2))</f>
        <v/>
      </c>
      <c r="B126" s="3239"/>
      <c r="C126" s="3239"/>
      <c r="D126" s="3276" t="str">
        <f>H111</f>
        <v>——</v>
      </c>
      <c r="E126" s="3277"/>
      <c r="F126" s="3277"/>
      <c r="G126" s="3277"/>
      <c r="H126" s="3277"/>
      <c r="I126" s="3278"/>
    </row>
    <row r="127" spans="1:11" ht="18.75" customHeight="1">
      <c r="A127" s="3148" t="s">
        <v>2320</v>
      </c>
      <c r="B127" s="3148"/>
      <c r="C127" s="3148"/>
      <c r="D127" s="3248" t="e">
        <f>NUMBERSTRING(INT(D126*10000),2)&amp;"元整"</f>
        <v>#VALUE!</v>
      </c>
      <c r="E127" s="3249"/>
      <c r="F127" s="3249"/>
      <c r="G127" s="3249"/>
      <c r="H127" s="3249"/>
      <c r="I127" s="3250"/>
    </row>
    <row r="128" spans="1:11" ht="21.75" customHeight="1">
      <c r="A128" s="3258" t="s">
        <v>2321</v>
      </c>
      <c r="B128" s="3258"/>
      <c r="C128" s="3258"/>
      <c r="D128" s="3258"/>
      <c r="E128" s="3258"/>
      <c r="F128" s="3258"/>
      <c r="G128" s="3258"/>
      <c r="H128" s="3258"/>
      <c r="I128" s="3258"/>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8" sqref="E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3406</v>
      </c>
      <c r="E1" s="2660"/>
      <c r="F1" s="2587" t="s">
        <v>3315</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5548</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110962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48" t="s">
        <v>2648</v>
      </c>
      <c r="AC4" s="3380" t="s">
        <v>2649</v>
      </c>
    </row>
    <row r="5" spans="1:29" ht="15">
      <c r="A5" s="405"/>
      <c r="B5" s="406"/>
      <c r="C5" s="3364" t="s">
        <v>3408</v>
      </c>
      <c r="D5" s="3352"/>
      <c r="E5" s="3365" t="s">
        <v>3407</v>
      </c>
      <c r="F5" s="3363"/>
      <c r="G5" s="3364" t="s">
        <v>3409</v>
      </c>
      <c r="H5" s="3352"/>
      <c r="I5" s="3364" t="s">
        <v>3410</v>
      </c>
      <c r="J5" s="3352"/>
      <c r="K5" s="611"/>
      <c r="L5" s="1134"/>
      <c r="M5" s="1135"/>
      <c r="N5" s="1135"/>
      <c r="O5" s="1135"/>
      <c r="P5" s="3383"/>
      <c r="Q5" s="3338"/>
      <c r="R5" s="3343"/>
      <c r="S5" s="3344"/>
      <c r="T5" s="3343"/>
      <c r="U5" s="3344"/>
      <c r="V5" s="3348"/>
      <c r="W5" s="3348"/>
      <c r="X5" s="1818"/>
      <c r="Y5" s="3343"/>
      <c r="Z5" s="3344"/>
      <c r="AA5" s="3360"/>
      <c r="AB5" s="3348"/>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48"/>
      <c r="AC6" s="3361"/>
    </row>
    <row r="7" spans="1:29" s="117" customFormat="1" ht="15.75" thickBot="1">
      <c r="A7" s="409" t="s">
        <v>2548</v>
      </c>
      <c r="B7" s="410"/>
      <c r="C7" s="411">
        <f>'数据-取费表'!B2</f>
        <v>43104</v>
      </c>
      <c r="D7" s="412">
        <v>100</v>
      </c>
      <c r="E7" s="413">
        <v>43083</v>
      </c>
      <c r="F7" s="414">
        <f>SUMIF(58:58,YEAR(E7)&amp;"-"&amp;MONTH(E7),59:59)</f>
        <v>99</v>
      </c>
      <c r="G7" s="413">
        <v>43074</v>
      </c>
      <c r="H7" s="412">
        <f>SUMIF(58:58,YEAR(G7)&amp;"-"&amp;MONTH(G7),59:59)</f>
        <v>99</v>
      </c>
      <c r="I7" s="413">
        <v>43103</v>
      </c>
      <c r="J7" s="412">
        <f>SUMIF(58:58,YEAR(I7)&amp;"-"&amp;MONTH(I7),59:59)</f>
        <v>100</v>
      </c>
      <c r="K7" s="612"/>
      <c r="L7" s="1136"/>
      <c r="M7" s="1137"/>
      <c r="N7" s="1137"/>
      <c r="O7" s="1137"/>
      <c r="P7" s="3355" t="s">
        <v>2549</v>
      </c>
      <c r="Q7" s="3356"/>
      <c r="R7" s="771" t="s">
        <v>17</v>
      </c>
      <c r="S7" s="772">
        <f t="shared" ref="S7:S15" si="0">F7</f>
        <v>99</v>
      </c>
      <c r="T7" s="771" t="s">
        <v>17</v>
      </c>
      <c r="U7" s="772">
        <f t="shared" ref="U7:U15" si="1">H7</f>
        <v>99</v>
      </c>
      <c r="V7" s="771" t="s">
        <v>17</v>
      </c>
      <c r="W7" s="772">
        <f t="shared" ref="W7:W15" si="2">J7</f>
        <v>100</v>
      </c>
      <c r="X7" s="773"/>
      <c r="Y7" s="3355" t="s">
        <v>2549</v>
      </c>
      <c r="Z7" s="3354"/>
      <c r="AA7" s="774">
        <f>D7/F7</f>
        <v>1.0101010101010102</v>
      </c>
      <c r="AB7" s="774">
        <f>D7/H7</f>
        <v>1.0101010101010102</v>
      </c>
      <c r="AC7" s="774">
        <f>D7/J7</f>
        <v>1</v>
      </c>
    </row>
    <row r="8" spans="1:29" s="117" customFormat="1" ht="15.75" thickBot="1">
      <c r="A8" s="409" t="s">
        <v>2550</v>
      </c>
      <c r="B8" s="410"/>
      <c r="C8" s="415" t="s">
        <v>2652</v>
      </c>
      <c r="D8" s="412">
        <v>100</v>
      </c>
      <c r="E8" s="415" t="s">
        <v>3278</v>
      </c>
      <c r="F8" s="414">
        <f>SUMIF(61:61,E8,62:62)-SUMIF(61:61,C8,62:62)+100</f>
        <v>100</v>
      </c>
      <c r="G8" s="415" t="s">
        <v>3278</v>
      </c>
      <c r="H8" s="412">
        <f>SUMIF(61:61,G8,62:62)-SUMIF(61:61,C8,62:62)+100</f>
        <v>100</v>
      </c>
      <c r="I8" s="415" t="s">
        <v>3278</v>
      </c>
      <c r="J8" s="412">
        <f>SUMIF(61:61,I8,62:62)-SUMIF(61:61,C8,62:62)+100</f>
        <v>100</v>
      </c>
      <c r="K8" s="612"/>
      <c r="L8" s="1136"/>
      <c r="M8" s="1137"/>
      <c r="N8" s="1137"/>
      <c r="O8" s="1137"/>
      <c r="P8" s="3355" t="s">
        <v>2552</v>
      </c>
      <c r="Q8" s="3354"/>
      <c r="R8" s="771" t="s">
        <v>17</v>
      </c>
      <c r="S8" s="772">
        <f t="shared" si="0"/>
        <v>100</v>
      </c>
      <c r="T8" s="771" t="s">
        <v>17</v>
      </c>
      <c r="U8" s="772">
        <f t="shared" si="1"/>
        <v>100</v>
      </c>
      <c r="V8" s="771" t="s">
        <v>17</v>
      </c>
      <c r="W8" s="772">
        <f t="shared" si="2"/>
        <v>100</v>
      </c>
      <c r="X8" s="773"/>
      <c r="Y8" s="3355" t="s">
        <v>2552</v>
      </c>
      <c r="Z8" s="3354"/>
      <c r="AA8" s="774">
        <f t="shared" ref="AA8:AA46" si="3">D8/F8</f>
        <v>1</v>
      </c>
      <c r="AB8" s="774">
        <f t="shared" ref="AB8:AB46" si="4">D8/H8</f>
        <v>1</v>
      </c>
      <c r="AC8" s="774">
        <f t="shared" ref="AC8:AC46" si="5">D8/J8</f>
        <v>1</v>
      </c>
    </row>
    <row r="9" spans="1:29" s="117" customFormat="1">
      <c r="A9" s="416" t="s">
        <v>2553</v>
      </c>
      <c r="B9" s="71" t="s">
        <v>2554</v>
      </c>
      <c r="C9" s="3008" t="s">
        <v>3411</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13"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29" s="428" customFormat="1" ht="27">
      <c r="A10" s="422"/>
      <c r="B10" s="423" t="s">
        <v>2557</v>
      </c>
      <c r="C10" s="424" t="s">
        <v>3412</v>
      </c>
      <c r="D10" s="136">
        <v>100</v>
      </c>
      <c r="E10" s="425" t="s">
        <v>3412</v>
      </c>
      <c r="F10" s="426">
        <f>SUMIF(65:65,E10,66:66)-SUMIF(65:65,C10,66:66)+100</f>
        <v>100</v>
      </c>
      <c r="G10" s="424" t="s">
        <v>3412</v>
      </c>
      <c r="H10" s="136">
        <f>SUMIF(65:65,G10,66:66)-SUMIF(65:65,C10,66:66)+100</f>
        <v>100</v>
      </c>
      <c r="I10" s="424" t="s">
        <v>3412</v>
      </c>
      <c r="J10" s="136">
        <f>SUMIF(65:65,I10,66:66)-SUMIF(65:65,C10,66:66)+100</f>
        <v>100</v>
      </c>
      <c r="K10" s="613">
        <v>2</v>
      </c>
      <c r="L10" s="1139"/>
      <c r="M10" s="1140"/>
      <c r="N10" s="1140"/>
      <c r="O10" s="1140"/>
      <c r="P10" s="3313"/>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429"/>
      <c r="B11" s="423"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13"/>
      <c r="Q11" s="1800" t="str">
        <f t="shared" si="6"/>
        <v>容积率</v>
      </c>
      <c r="R11" s="771" t="s">
        <v>17</v>
      </c>
      <c r="S11" s="772">
        <f t="shared" si="0"/>
        <v>100</v>
      </c>
      <c r="T11" s="771" t="s">
        <v>17</v>
      </c>
      <c r="U11" s="772">
        <f t="shared" si="1"/>
        <v>100</v>
      </c>
      <c r="V11" s="771" t="s">
        <v>17</v>
      </c>
      <c r="W11" s="772">
        <f t="shared" si="2"/>
        <v>100</v>
      </c>
      <c r="X11" s="773"/>
      <c r="Y11" s="3148"/>
      <c r="Z11" s="55"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13"/>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13"/>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13"/>
      <c r="Q14" s="1800">
        <f t="shared" si="6"/>
        <v>111</v>
      </c>
      <c r="R14" s="771" t="s">
        <v>17</v>
      </c>
      <c r="S14" s="772">
        <f t="shared" si="0"/>
        <v>100</v>
      </c>
      <c r="T14" s="771" t="s">
        <v>17</v>
      </c>
      <c r="U14" s="772">
        <f t="shared" si="1"/>
        <v>100</v>
      </c>
      <c r="V14" s="771" t="s">
        <v>17</v>
      </c>
      <c r="W14" s="772">
        <f t="shared" si="2"/>
        <v>100</v>
      </c>
      <c r="X14" s="773"/>
      <c r="Y14" s="3148"/>
      <c r="Z14" s="55">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19" t="s">
        <v>2560</v>
      </c>
      <c r="Q15" s="1815" t="str">
        <f t="shared" si="6"/>
        <v>商业繁华度</v>
      </c>
      <c r="R15" s="775" t="s">
        <v>17</v>
      </c>
      <c r="S15" s="776">
        <f t="shared" si="0"/>
        <v>100</v>
      </c>
      <c r="T15" s="775" t="s">
        <v>17</v>
      </c>
      <c r="U15" s="776">
        <f t="shared" si="1"/>
        <v>100</v>
      </c>
      <c r="V15" s="775" t="s">
        <v>17</v>
      </c>
      <c r="W15" s="776">
        <f t="shared" si="2"/>
        <v>100</v>
      </c>
      <c r="X15" s="1818"/>
      <c r="Y15" s="3321" t="s">
        <v>2560</v>
      </c>
      <c r="Z15" s="1819" t="str">
        <f t="shared" si="7"/>
        <v>商业繁华度</v>
      </c>
      <c r="AA15" s="1816">
        <f t="shared" si="3"/>
        <v>1</v>
      </c>
      <c r="AB15" s="1816">
        <f t="shared" si="4"/>
        <v>1</v>
      </c>
      <c r="AC15" s="1816">
        <f t="shared" si="5"/>
        <v>1</v>
      </c>
    </row>
    <row r="16" spans="1:29" ht="15">
      <c r="A16" s="429"/>
      <c r="B16" s="447"/>
      <c r="C16" s="448" t="s">
        <v>3281</v>
      </c>
      <c r="D16" s="449"/>
      <c r="E16" s="448" t="s">
        <v>3281</v>
      </c>
      <c r="F16" s="450"/>
      <c r="G16" s="448" t="s">
        <v>3281</v>
      </c>
      <c r="H16" s="451"/>
      <c r="I16" s="448" t="s">
        <v>3281</v>
      </c>
      <c r="J16" s="449"/>
      <c r="K16" s="616"/>
      <c r="L16" s="1144"/>
      <c r="M16" s="1135"/>
      <c r="N16" s="1135"/>
      <c r="O16" s="1135"/>
      <c r="P16" s="3320"/>
      <c r="Q16" s="1815"/>
      <c r="R16" s="775"/>
      <c r="S16" s="776"/>
      <c r="T16" s="775"/>
      <c r="U16" s="776"/>
      <c r="V16" s="775"/>
      <c r="W16" s="776"/>
      <c r="X16" s="1818"/>
      <c r="Y16" s="3322"/>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20"/>
      <c r="Q17" s="1815" t="str">
        <f>B17</f>
        <v>交通便捷度</v>
      </c>
      <c r="R17" s="775" t="s">
        <v>17</v>
      </c>
      <c r="S17" s="776">
        <f>F17</f>
        <v>100</v>
      </c>
      <c r="T17" s="775" t="s">
        <v>17</v>
      </c>
      <c r="U17" s="776">
        <f>H17</f>
        <v>100</v>
      </c>
      <c r="V17" s="775" t="s">
        <v>17</v>
      </c>
      <c r="W17" s="776">
        <f>J17</f>
        <v>100</v>
      </c>
      <c r="X17" s="1818"/>
      <c r="Y17" s="3322"/>
      <c r="Z17" s="1819" t="str">
        <f>Q17</f>
        <v>交通便捷度</v>
      </c>
      <c r="AA17" s="1816">
        <f t="shared" si="3"/>
        <v>1</v>
      </c>
      <c r="AB17" s="1816">
        <f t="shared" si="4"/>
        <v>1</v>
      </c>
      <c r="AC17" s="1816">
        <f t="shared" si="5"/>
        <v>1</v>
      </c>
    </row>
    <row r="18" spans="1:29" ht="15">
      <c r="A18" s="429"/>
      <c r="B18" s="457"/>
      <c r="C18" s="2611" t="s">
        <v>3282</v>
      </c>
      <c r="D18" s="451"/>
      <c r="E18" s="2613" t="s">
        <v>3282</v>
      </c>
      <c r="F18" s="454"/>
      <c r="G18" s="2612" t="s">
        <v>3282</v>
      </c>
      <c r="H18" s="449"/>
      <c r="I18" s="2613" t="s">
        <v>3282</v>
      </c>
      <c r="J18" s="449"/>
      <c r="K18" s="616"/>
      <c r="L18" s="1144"/>
      <c r="M18" s="1135"/>
      <c r="N18" s="1135"/>
      <c r="O18" s="1135"/>
      <c r="P18" s="3320"/>
      <c r="Q18" s="1815"/>
      <c r="R18" s="775"/>
      <c r="S18" s="776"/>
      <c r="T18" s="775"/>
      <c r="U18" s="776"/>
      <c r="V18" s="775"/>
      <c r="W18" s="776"/>
      <c r="X18" s="1818"/>
      <c r="Y18" s="3322"/>
      <c r="Z18" s="1819"/>
      <c r="AA18" s="1816">
        <v>1</v>
      </c>
      <c r="AB18" s="1816">
        <v>1</v>
      </c>
      <c r="AC18" s="1816">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20"/>
      <c r="Q19" s="1815" t="str">
        <f>B19</f>
        <v>公共配套设施</v>
      </c>
      <c r="R19" s="775" t="s">
        <v>17</v>
      </c>
      <c r="S19" s="776">
        <f>F19</f>
        <v>100</v>
      </c>
      <c r="T19" s="775" t="s">
        <v>17</v>
      </c>
      <c r="U19" s="776">
        <f>H19</f>
        <v>100</v>
      </c>
      <c r="V19" s="775" t="s">
        <v>17</v>
      </c>
      <c r="W19" s="776">
        <f>J19</f>
        <v>100</v>
      </c>
      <c r="X19" s="1818"/>
      <c r="Y19" s="3322"/>
      <c r="Z19" s="1819" t="str">
        <f>Q19</f>
        <v>公共配套设施</v>
      </c>
      <c r="AA19" s="1816">
        <f t="shared" si="3"/>
        <v>1</v>
      </c>
      <c r="AB19" s="1816">
        <f t="shared" si="4"/>
        <v>1</v>
      </c>
      <c r="AC19" s="1816">
        <f t="shared" si="5"/>
        <v>1</v>
      </c>
    </row>
    <row r="20" spans="1:29" ht="15">
      <c r="A20" s="429"/>
      <c r="B20" s="457"/>
      <c r="C20" s="448" t="s">
        <v>3282</v>
      </c>
      <c r="D20" s="449"/>
      <c r="E20" s="2608" t="s">
        <v>3282</v>
      </c>
      <c r="F20" s="450"/>
      <c r="G20" s="2607" t="s">
        <v>3282</v>
      </c>
      <c r="H20" s="449"/>
      <c r="I20" s="2608" t="s">
        <v>3282</v>
      </c>
      <c r="J20" s="449"/>
      <c r="K20" s="616"/>
      <c r="L20" s="1144"/>
      <c r="M20" s="1135"/>
      <c r="N20" s="1135"/>
      <c r="O20" s="1135"/>
      <c r="P20" s="3320"/>
      <c r="Q20" s="1815"/>
      <c r="R20" s="775"/>
      <c r="S20" s="776"/>
      <c r="T20" s="775"/>
      <c r="U20" s="776"/>
      <c r="V20" s="775"/>
      <c r="W20" s="776"/>
      <c r="X20" s="1818"/>
      <c r="Y20" s="3322"/>
      <c r="Z20" s="1819"/>
      <c r="AA20" s="1816">
        <v>1</v>
      </c>
      <c r="AB20" s="1816">
        <v>1</v>
      </c>
      <c r="AC20" s="1816">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20"/>
      <c r="Q21" s="1815" t="str">
        <f>B21</f>
        <v>基础设施水平</v>
      </c>
      <c r="R21" s="775" t="s">
        <v>17</v>
      </c>
      <c r="S21" s="776">
        <f>F21</f>
        <v>100</v>
      </c>
      <c r="T21" s="775" t="s">
        <v>17</v>
      </c>
      <c r="U21" s="776">
        <f>H21</f>
        <v>100</v>
      </c>
      <c r="V21" s="775" t="s">
        <v>17</v>
      </c>
      <c r="W21" s="776">
        <f>J21</f>
        <v>100</v>
      </c>
      <c r="X21" s="1818"/>
      <c r="Y21" s="3322"/>
      <c r="Z21" s="1819" t="str">
        <f>Q21</f>
        <v>基础设施水平</v>
      </c>
      <c r="AA21" s="1816">
        <f t="shared" ref="AA21" si="8">D21/F21</f>
        <v>1</v>
      </c>
      <c r="AB21" s="1816">
        <f t="shared" ref="AB21" si="9">D21/H21</f>
        <v>1</v>
      </c>
      <c r="AC21" s="1816">
        <f t="shared" ref="AC21" si="10">D21/J21</f>
        <v>1</v>
      </c>
    </row>
    <row r="22" spans="1:29" ht="15">
      <c r="A22" s="429"/>
      <c r="B22" s="1388"/>
      <c r="C22" s="2611" t="s">
        <v>3265</v>
      </c>
      <c r="D22" s="449"/>
      <c r="E22" s="448" t="s">
        <v>3265</v>
      </c>
      <c r="F22" s="450"/>
      <c r="G22" s="448" t="s">
        <v>3265</v>
      </c>
      <c r="H22" s="449"/>
      <c r="I22" s="448" t="s">
        <v>3265</v>
      </c>
      <c r="J22" s="449"/>
      <c r="K22" s="1387"/>
      <c r="L22" s="1144"/>
      <c r="M22" s="1135"/>
      <c r="N22" s="1135"/>
      <c r="O22" s="1135"/>
      <c r="P22" s="3320"/>
      <c r="Q22" s="1815"/>
      <c r="R22" s="775"/>
      <c r="S22" s="776"/>
      <c r="T22" s="775"/>
      <c r="U22" s="776"/>
      <c r="V22" s="775"/>
      <c r="W22" s="776"/>
      <c r="X22" s="1818"/>
      <c r="Y22" s="3322"/>
      <c r="Z22" s="1819"/>
      <c r="AA22" s="1816">
        <v>1</v>
      </c>
      <c r="AB22" s="1816">
        <v>1</v>
      </c>
      <c r="AC22" s="1816">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20"/>
      <c r="Q23" s="1815" t="str">
        <f>B23</f>
        <v>自然及人文环境</v>
      </c>
      <c r="R23" s="775" t="s">
        <v>17</v>
      </c>
      <c r="S23" s="776">
        <f>F23</f>
        <v>100</v>
      </c>
      <c r="T23" s="775" t="s">
        <v>17</v>
      </c>
      <c r="U23" s="776">
        <f>H23</f>
        <v>100</v>
      </c>
      <c r="V23" s="775" t="s">
        <v>17</v>
      </c>
      <c r="W23" s="776">
        <f>J23</f>
        <v>100</v>
      </c>
      <c r="X23" s="1818"/>
      <c r="Y23" s="3322"/>
      <c r="Z23" s="1819" t="str">
        <f>Q23</f>
        <v>自然及人文环境</v>
      </c>
      <c r="AA23" s="1816">
        <f t="shared" si="3"/>
        <v>1</v>
      </c>
      <c r="AB23" s="1816">
        <f t="shared" si="4"/>
        <v>1</v>
      </c>
      <c r="AC23" s="1816">
        <f t="shared" si="5"/>
        <v>1</v>
      </c>
    </row>
    <row r="24" spans="1:29" ht="15">
      <c r="A24" s="429"/>
      <c r="B24" s="457"/>
      <c r="C24" s="448" t="s">
        <v>3283</v>
      </c>
      <c r="D24" s="449"/>
      <c r="E24" s="2608" t="s">
        <v>3283</v>
      </c>
      <c r="F24" s="450"/>
      <c r="G24" s="2607" t="s">
        <v>3283</v>
      </c>
      <c r="H24" s="449"/>
      <c r="I24" s="2608" t="s">
        <v>3283</v>
      </c>
      <c r="J24" s="449"/>
      <c r="K24" s="616"/>
      <c r="L24" s="1144"/>
      <c r="M24" s="1135"/>
      <c r="N24" s="1135"/>
      <c r="O24" s="1135"/>
      <c r="P24" s="3320"/>
      <c r="Q24" s="1815"/>
      <c r="R24" s="775"/>
      <c r="S24" s="776"/>
      <c r="T24" s="775"/>
      <c r="U24" s="776"/>
      <c r="V24" s="775"/>
      <c r="W24" s="776"/>
      <c r="X24" s="1818"/>
      <c r="Y24" s="3322"/>
      <c r="Z24" s="1819"/>
      <c r="AA24" s="1816">
        <v>1</v>
      </c>
      <c r="AB24" s="1816">
        <v>1</v>
      </c>
      <c r="AC24" s="1816">
        <v>1</v>
      </c>
    </row>
    <row r="25" spans="1:29" ht="15">
      <c r="A25" s="429"/>
      <c r="B25" s="423" t="s">
        <v>2656</v>
      </c>
      <c r="C25" s="617" t="s">
        <v>3360</v>
      </c>
      <c r="D25" s="436">
        <v>100</v>
      </c>
      <c r="E25" s="617" t="s">
        <v>3360</v>
      </c>
      <c r="F25" s="462">
        <f>SUMIF(86:86,E25,87:87)-SUMIF(86:86,C25,87:87)+100</f>
        <v>100</v>
      </c>
      <c r="G25" s="617" t="s">
        <v>3364</v>
      </c>
      <c r="H25" s="436">
        <f>SUMIF(86:86,G25,87:87)-SUMIF(86:86,C25,87:87)+100</f>
        <v>96</v>
      </c>
      <c r="I25" s="617" t="s">
        <v>3362</v>
      </c>
      <c r="J25" s="436">
        <f>SUMIF(86:86,I25,87:87)-SUMIF(86:86,C25,87:87)+100</f>
        <v>98</v>
      </c>
      <c r="K25" s="613">
        <v>2</v>
      </c>
      <c r="L25" s="1144"/>
      <c r="M25" s="1135"/>
      <c r="N25" s="1135"/>
      <c r="O25" s="1135"/>
      <c r="P25" s="3320"/>
      <c r="Q25" s="1815" t="str">
        <f t="shared" ref="Q25:Q46" si="11">B25</f>
        <v>临街状况</v>
      </c>
      <c r="R25" s="775" t="s">
        <v>17</v>
      </c>
      <c r="S25" s="776">
        <f>F25</f>
        <v>100</v>
      </c>
      <c r="T25" s="775" t="s">
        <v>17</v>
      </c>
      <c r="U25" s="776">
        <f>H25</f>
        <v>96</v>
      </c>
      <c r="V25" s="775" t="s">
        <v>17</v>
      </c>
      <c r="W25" s="776">
        <f>J25</f>
        <v>98</v>
      </c>
      <c r="X25" s="1818"/>
      <c r="Y25" s="3322"/>
      <c r="Z25" s="1819" t="str">
        <f>Q25</f>
        <v>临街状况</v>
      </c>
      <c r="AA25" s="1816">
        <f t="shared" si="3"/>
        <v>1</v>
      </c>
      <c r="AB25" s="1816">
        <f t="shared" si="4"/>
        <v>1.0416666666666667</v>
      </c>
      <c r="AC25" s="1816">
        <f t="shared" si="5"/>
        <v>1.0204081632653061</v>
      </c>
    </row>
    <row r="26" spans="1:29" ht="15">
      <c r="A26" s="429"/>
      <c r="B26" s="1390" t="s">
        <v>2657</v>
      </c>
      <c r="C26" s="3009" t="s">
        <v>3372</v>
      </c>
      <c r="D26" s="436">
        <v>100</v>
      </c>
      <c r="E26" s="3009" t="s">
        <v>3369</v>
      </c>
      <c r="F26" s="462">
        <f>SUMIF(88:88,E26,89:89)-SUMIF(88:88,C26,89:89)+100</f>
        <v>98</v>
      </c>
      <c r="G26" s="3009" t="s">
        <v>3369</v>
      </c>
      <c r="H26" s="436">
        <f>SUMIF(88:88,G26,89:89)-SUMIF(88:88,C26,89:89)+100</f>
        <v>98</v>
      </c>
      <c r="I26" s="3009" t="s">
        <v>3413</v>
      </c>
      <c r="J26" s="436">
        <f>SUMIF(88:88,I26,89:89)-SUMIF(88:88,C26,89:89)+100</f>
        <v>98</v>
      </c>
      <c r="K26" s="614"/>
      <c r="L26" s="1144"/>
      <c r="M26" s="1135"/>
      <c r="N26" s="1135"/>
      <c r="O26" s="1135"/>
      <c r="P26" s="3320"/>
      <c r="Q26" s="1815" t="str">
        <f t="shared" si="11"/>
        <v>平面位置/可视性</v>
      </c>
      <c r="R26" s="775" t="s">
        <v>17</v>
      </c>
      <c r="S26" s="776">
        <f>F26</f>
        <v>98</v>
      </c>
      <c r="T26" s="775" t="s">
        <v>17</v>
      </c>
      <c r="U26" s="776">
        <f>H26</f>
        <v>98</v>
      </c>
      <c r="V26" s="775" t="s">
        <v>17</v>
      </c>
      <c r="W26" s="776">
        <f>J26</f>
        <v>98</v>
      </c>
      <c r="X26" s="1818"/>
      <c r="Y26" s="3322"/>
      <c r="Z26" s="1819" t="str">
        <f>Q26</f>
        <v>平面位置/可视性</v>
      </c>
      <c r="AA26" s="1816">
        <f t="shared" si="3"/>
        <v>1.0204081632653061</v>
      </c>
      <c r="AB26" s="1816">
        <f t="shared" si="4"/>
        <v>1.0204081632653061</v>
      </c>
      <c r="AC26" s="1816">
        <f t="shared" si="5"/>
        <v>1.0204081632653061</v>
      </c>
    </row>
    <row r="27" spans="1:29" s="117" customFormat="1" ht="15">
      <c r="A27" s="432"/>
      <c r="B27" s="452" t="s">
        <v>2658</v>
      </c>
      <c r="C27" s="2668" t="s">
        <v>3281</v>
      </c>
      <c r="D27" s="463">
        <v>100</v>
      </c>
      <c r="E27" s="2668" t="s">
        <v>3283</v>
      </c>
      <c r="F27" s="465">
        <f>SUMIF(90:90,E27,91:91)-SUMIF(90:90,C27,91:91)+100</f>
        <v>98</v>
      </c>
      <c r="G27" s="2668" t="s">
        <v>3283</v>
      </c>
      <c r="H27" s="463">
        <f>SUMIF(90:90,G27,91:91)-SUMIF(90:90,C27,91:91)+100</f>
        <v>98</v>
      </c>
      <c r="I27" s="2668" t="s">
        <v>3283</v>
      </c>
      <c r="J27" s="463">
        <f>SUMIF(90:90,I27,91:91)-SUMIF(90:90,C27,91:91)+100</f>
        <v>98</v>
      </c>
      <c r="K27" s="613">
        <v>2</v>
      </c>
      <c r="L27" s="1136"/>
      <c r="M27" s="1137"/>
      <c r="N27" s="1137"/>
      <c r="O27" s="1137"/>
      <c r="P27" s="3320"/>
      <c r="Q27" s="1800" t="str">
        <f t="shared" si="11"/>
        <v>人流量</v>
      </c>
      <c r="R27" s="771" t="s">
        <v>17</v>
      </c>
      <c r="S27" s="772">
        <f>F27</f>
        <v>98</v>
      </c>
      <c r="T27" s="771" t="s">
        <v>17</v>
      </c>
      <c r="U27" s="772">
        <f>H27</f>
        <v>98</v>
      </c>
      <c r="V27" s="771" t="s">
        <v>17</v>
      </c>
      <c r="W27" s="772">
        <f>J27</f>
        <v>98</v>
      </c>
      <c r="X27" s="773"/>
      <c r="Y27" s="3322"/>
      <c r="Z27" s="55" t="str">
        <f>Q27</f>
        <v>人流量</v>
      </c>
      <c r="AA27" s="1816">
        <f>D27/F27</f>
        <v>1.0204081632653061</v>
      </c>
      <c r="AB27" s="1816">
        <f>D27/H27</f>
        <v>1.0204081632653061</v>
      </c>
      <c r="AC27" s="1816">
        <f>D27/J27</f>
        <v>1.0204081632653061</v>
      </c>
    </row>
    <row r="28" spans="1:29" ht="15">
      <c r="A28" s="429"/>
      <c r="B28" s="423" t="s">
        <v>2659</v>
      </c>
      <c r="C28" s="617" t="s">
        <v>3415</v>
      </c>
      <c r="D28" s="436">
        <v>100</v>
      </c>
      <c r="E28" s="617" t="s">
        <v>3415</v>
      </c>
      <c r="F28" s="462">
        <f>SUMIF(92:92,E28,93:93)-SUMIF(92:92,C28,93:93)+100</f>
        <v>100</v>
      </c>
      <c r="G28" s="617" t="s">
        <v>3415</v>
      </c>
      <c r="H28" s="436">
        <f>SUMIF(92:92,G28,93:93)-SUMIF(92:92,C28,93:93)+100</f>
        <v>100</v>
      </c>
      <c r="I28" s="617" t="s">
        <v>3415</v>
      </c>
      <c r="J28" s="436">
        <f>SUMIF(92:92,I28,93:93)-SUMIF(92:92,C28,93:93)+100</f>
        <v>100</v>
      </c>
      <c r="K28" s="614"/>
      <c r="L28" s="1144"/>
      <c r="M28" s="1135"/>
      <c r="N28" s="1135"/>
      <c r="O28" s="1135"/>
      <c r="P28" s="3320"/>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322"/>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20"/>
      <c r="Q29" s="1815">
        <f t="shared" si="11"/>
        <v>111</v>
      </c>
      <c r="R29" s="775" t="s">
        <v>17</v>
      </c>
      <c r="S29" s="776">
        <f t="shared" si="12"/>
        <v>100</v>
      </c>
      <c r="T29" s="775" t="s">
        <v>17</v>
      </c>
      <c r="U29" s="776">
        <f t="shared" si="13"/>
        <v>100</v>
      </c>
      <c r="V29" s="775" t="s">
        <v>17</v>
      </c>
      <c r="W29" s="776">
        <f t="shared" si="14"/>
        <v>100</v>
      </c>
      <c r="X29" s="1818"/>
      <c r="Y29" s="3322"/>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20"/>
      <c r="Q30" s="1815">
        <f t="shared" si="11"/>
        <v>111</v>
      </c>
      <c r="R30" s="775" t="s">
        <v>17</v>
      </c>
      <c r="S30" s="776">
        <f t="shared" si="12"/>
        <v>100</v>
      </c>
      <c r="T30" s="775" t="s">
        <v>17</v>
      </c>
      <c r="U30" s="776">
        <f t="shared" si="13"/>
        <v>100</v>
      </c>
      <c r="V30" s="775" t="s">
        <v>17</v>
      </c>
      <c r="W30" s="776">
        <f t="shared" si="14"/>
        <v>100</v>
      </c>
      <c r="X30" s="1818"/>
      <c r="Y30" s="3322"/>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20"/>
      <c r="Q31" s="1815">
        <f t="shared" si="11"/>
        <v>111</v>
      </c>
      <c r="R31" s="775" t="s">
        <v>17</v>
      </c>
      <c r="S31" s="776">
        <f t="shared" si="12"/>
        <v>100</v>
      </c>
      <c r="T31" s="775" t="s">
        <v>17</v>
      </c>
      <c r="U31" s="776">
        <f t="shared" si="13"/>
        <v>100</v>
      </c>
      <c r="V31" s="775" t="s">
        <v>17</v>
      </c>
      <c r="W31" s="776">
        <f t="shared" si="14"/>
        <v>100</v>
      </c>
      <c r="X31" s="1818"/>
      <c r="Y31" s="3322"/>
      <c r="Z31" s="1819">
        <f t="shared" si="15"/>
        <v>111</v>
      </c>
      <c r="AA31" s="1816">
        <f t="shared" si="3"/>
        <v>1</v>
      </c>
      <c r="AB31" s="1816">
        <f t="shared" si="4"/>
        <v>1</v>
      </c>
      <c r="AC31" s="1816">
        <f t="shared" si="5"/>
        <v>1</v>
      </c>
    </row>
    <row r="32" spans="1:29" ht="15">
      <c r="A32" s="441" t="s">
        <v>2563</v>
      </c>
      <c r="B32" s="71" t="s">
        <v>2660</v>
      </c>
      <c r="C32" s="2620" t="s">
        <v>3382</v>
      </c>
      <c r="D32" s="468">
        <v>100</v>
      </c>
      <c r="E32" s="3084" t="s">
        <v>3381</v>
      </c>
      <c r="F32" s="3085">
        <f>SUMIF(100:100,E32,101:101)-SUMIF(100:100,C32,101:101)+100</f>
        <v>94</v>
      </c>
      <c r="G32" s="3084" t="s">
        <v>3381</v>
      </c>
      <c r="H32" s="3086">
        <f>SUMIF(100:100,G32,101:101)-SUMIF(100:100,C32,101:101)+100</f>
        <v>94</v>
      </c>
      <c r="I32" s="3084" t="s">
        <v>3381</v>
      </c>
      <c r="J32" s="3087">
        <f>SUMIF(100:100,I32,101:101)-SUMIF(100:100,C32,101:101)+100</f>
        <v>94</v>
      </c>
      <c r="K32" s="613">
        <v>6</v>
      </c>
      <c r="L32" s="1144"/>
      <c r="M32" s="1135"/>
      <c r="N32" s="1135"/>
      <c r="O32" s="1135"/>
      <c r="P32" s="3323" t="s">
        <v>2565</v>
      </c>
      <c r="Q32" s="1815" t="str">
        <f t="shared" si="11"/>
        <v>商业类型</v>
      </c>
      <c r="R32" s="775" t="s">
        <v>17</v>
      </c>
      <c r="S32" s="776">
        <f t="shared" si="12"/>
        <v>94</v>
      </c>
      <c r="T32" s="775" t="s">
        <v>17</v>
      </c>
      <c r="U32" s="776">
        <f t="shared" si="13"/>
        <v>94</v>
      </c>
      <c r="V32" s="775" t="s">
        <v>17</v>
      </c>
      <c r="W32" s="776">
        <f t="shared" si="14"/>
        <v>94</v>
      </c>
      <c r="X32" s="1818"/>
      <c r="Y32" s="3326" t="s">
        <v>2565</v>
      </c>
      <c r="Z32" s="1819" t="str">
        <f t="shared" si="15"/>
        <v>商业类型</v>
      </c>
      <c r="AA32" s="1816">
        <f t="shared" si="3"/>
        <v>1.0638297872340425</v>
      </c>
      <c r="AB32" s="1816">
        <f t="shared" si="4"/>
        <v>1.0638297872340425</v>
      </c>
      <c r="AC32" s="1816">
        <f t="shared" si="5"/>
        <v>1.0638297872340425</v>
      </c>
    </row>
    <row r="33" spans="1:29" s="472" customFormat="1" ht="15">
      <c r="A33" s="469"/>
      <c r="B33" s="423" t="s">
        <v>2566</v>
      </c>
      <c r="C33" s="3071">
        <f>面积!C39</f>
        <v>1377.98</v>
      </c>
      <c r="D33" s="136">
        <v>100</v>
      </c>
      <c r="E33" s="431">
        <v>156</v>
      </c>
      <c r="F33" s="426">
        <f>LOOKUP(E33,103:103,104:104)-LOOKUP(C33,103:103,104:104)+100</f>
        <v>108</v>
      </c>
      <c r="G33" s="430">
        <v>1123.5999999999999</v>
      </c>
      <c r="H33" s="136">
        <f>LOOKUP(G33,103:103,104:104)-LOOKUP(C33,103:103,104:104)+100</f>
        <v>102</v>
      </c>
      <c r="I33" s="430">
        <v>330</v>
      </c>
      <c r="J33" s="136">
        <f>LOOKUP(I33,103:103,104:104)-LOOKUP(C33,103:103,104:104)+100</f>
        <v>106</v>
      </c>
      <c r="K33" s="614"/>
      <c r="L33" s="1142"/>
      <c r="M33" s="1145"/>
      <c r="N33" s="1145"/>
      <c r="O33" s="1145"/>
      <c r="P33" s="3324"/>
      <c r="Q33" s="777" t="str">
        <f t="shared" si="11"/>
        <v>项目建筑规模</v>
      </c>
      <c r="R33" s="778" t="s">
        <v>17</v>
      </c>
      <c r="S33" s="779">
        <f t="shared" si="12"/>
        <v>108</v>
      </c>
      <c r="T33" s="778" t="s">
        <v>17</v>
      </c>
      <c r="U33" s="779">
        <f t="shared" si="13"/>
        <v>102</v>
      </c>
      <c r="V33" s="778" t="s">
        <v>17</v>
      </c>
      <c r="W33" s="779">
        <f t="shared" si="14"/>
        <v>106</v>
      </c>
      <c r="X33" s="780"/>
      <c r="Y33" s="3326"/>
      <c r="Z33" s="781" t="str">
        <f t="shared" si="15"/>
        <v>项目建筑规模</v>
      </c>
      <c r="AA33" s="1816">
        <f t="shared" si="3"/>
        <v>0.92592592592592593</v>
      </c>
      <c r="AB33" s="1816">
        <f t="shared" si="4"/>
        <v>0.98039215686274506</v>
      </c>
      <c r="AC33" s="1816">
        <f t="shared" si="5"/>
        <v>0.94339622641509435</v>
      </c>
    </row>
    <row r="34" spans="1:29" ht="15">
      <c r="A34" s="473"/>
      <c r="B34" s="423"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24"/>
      <c r="Q34" s="1815" t="str">
        <f t="shared" si="11"/>
        <v>建筑结构</v>
      </c>
      <c r="R34" s="775" t="s">
        <v>17</v>
      </c>
      <c r="S34" s="776">
        <f t="shared" si="12"/>
        <v>100</v>
      </c>
      <c r="T34" s="775" t="s">
        <v>17</v>
      </c>
      <c r="U34" s="776">
        <f t="shared" si="13"/>
        <v>100</v>
      </c>
      <c r="V34" s="775" t="s">
        <v>17</v>
      </c>
      <c r="W34" s="776">
        <f t="shared" si="14"/>
        <v>100</v>
      </c>
      <c r="X34" s="1818"/>
      <c r="Y34" s="3326"/>
      <c r="Z34" s="1819" t="str">
        <f t="shared" si="15"/>
        <v>建筑结构</v>
      </c>
      <c r="AA34" s="1816">
        <f t="shared" si="3"/>
        <v>1</v>
      </c>
      <c r="AB34" s="1816">
        <f t="shared" si="4"/>
        <v>1</v>
      </c>
      <c r="AC34" s="1816">
        <f t="shared" si="5"/>
        <v>1</v>
      </c>
    </row>
    <row r="35" spans="1:29" ht="15">
      <c r="A35" s="473"/>
      <c r="B35" s="423" t="s">
        <v>2661</v>
      </c>
      <c r="C35" s="2616" t="s">
        <v>3250</v>
      </c>
      <c r="D35" s="436">
        <v>100</v>
      </c>
      <c r="E35" s="2616" t="s">
        <v>3250</v>
      </c>
      <c r="F35" s="462">
        <f>SUMIF(107:107,E35,108:108)-SUMIF(107:107,C35,108:108)+100</f>
        <v>100</v>
      </c>
      <c r="G35" s="2616" t="s">
        <v>3250</v>
      </c>
      <c r="H35" s="436">
        <f>SUMIF(107:107,G35,108:108)-SUMIF(107:107,C35,108:108)+100</f>
        <v>100</v>
      </c>
      <c r="I35" s="2616" t="s">
        <v>3250</v>
      </c>
      <c r="J35" s="436">
        <f>SUMIF(107:107,I35,108:108)-SUMIF(107:107,C35,108:108)+100</f>
        <v>100</v>
      </c>
      <c r="K35" s="613">
        <v>2</v>
      </c>
      <c r="L35" s="1144"/>
      <c r="M35" s="1135"/>
      <c r="N35" s="1135"/>
      <c r="O35" s="1135"/>
      <c r="P35" s="3324"/>
      <c r="Q35" s="1815" t="str">
        <f t="shared" si="11"/>
        <v>公共部分装修</v>
      </c>
      <c r="R35" s="775" t="s">
        <v>17</v>
      </c>
      <c r="S35" s="776">
        <f t="shared" si="12"/>
        <v>100</v>
      </c>
      <c r="T35" s="775" t="s">
        <v>17</v>
      </c>
      <c r="U35" s="776">
        <f t="shared" si="13"/>
        <v>100</v>
      </c>
      <c r="V35" s="775" t="s">
        <v>17</v>
      </c>
      <c r="W35" s="776">
        <f t="shared" si="14"/>
        <v>100</v>
      </c>
      <c r="X35" s="1818"/>
      <c r="Y35" s="3326"/>
      <c r="Z35" s="1819" t="str">
        <f t="shared" si="15"/>
        <v>公共部分装修</v>
      </c>
      <c r="AA35" s="1816">
        <f t="shared" si="3"/>
        <v>1</v>
      </c>
      <c r="AB35" s="1816">
        <f t="shared" si="4"/>
        <v>1</v>
      </c>
      <c r="AC35" s="1816">
        <f t="shared" si="5"/>
        <v>1</v>
      </c>
    </row>
    <row r="36" spans="1:29" ht="15">
      <c r="A36" s="473"/>
      <c r="B36" s="423"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24"/>
      <c r="Q36" s="1815" t="str">
        <f t="shared" si="11"/>
        <v>成新度</v>
      </c>
      <c r="R36" s="775" t="s">
        <v>17</v>
      </c>
      <c r="S36" s="776">
        <f t="shared" si="12"/>
        <v>100</v>
      </c>
      <c r="T36" s="775" t="s">
        <v>17</v>
      </c>
      <c r="U36" s="776">
        <f t="shared" si="13"/>
        <v>100</v>
      </c>
      <c r="V36" s="775" t="s">
        <v>17</v>
      </c>
      <c r="W36" s="776">
        <f t="shared" si="14"/>
        <v>100</v>
      </c>
      <c r="X36" s="1818"/>
      <c r="Y36" s="3326"/>
      <c r="Z36" s="1819" t="str">
        <f t="shared" si="15"/>
        <v>成新度</v>
      </c>
      <c r="AA36" s="1816">
        <f t="shared" si="3"/>
        <v>1</v>
      </c>
      <c r="AB36" s="1816">
        <f t="shared" si="4"/>
        <v>1</v>
      </c>
      <c r="AC36" s="1816">
        <f t="shared" si="5"/>
        <v>1</v>
      </c>
    </row>
    <row r="37" spans="1:29" s="117" customFormat="1" ht="15">
      <c r="A37" s="474"/>
      <c r="B37" s="423" t="s">
        <v>2663</v>
      </c>
      <c r="C37" s="2616" t="s">
        <v>3265</v>
      </c>
      <c r="D37" s="136">
        <v>100</v>
      </c>
      <c r="E37" s="2616" t="s">
        <v>3265</v>
      </c>
      <c r="F37" s="462">
        <f>SUMIF(112:112,E37,113:113)-SUMIF(112:112,C37,113:113)+100</f>
        <v>100</v>
      </c>
      <c r="G37" s="2616" t="s">
        <v>3265</v>
      </c>
      <c r="H37" s="436">
        <f>SUMIF(112:112,G37,113:113)-SUMIF(112:112,C37,113:113)+100</f>
        <v>100</v>
      </c>
      <c r="I37" s="2616" t="s">
        <v>3265</v>
      </c>
      <c r="J37" s="436">
        <f>SUMIF(112:112,I37,113:113)-SUMIF(112:112,C37,113:113)+100</f>
        <v>100</v>
      </c>
      <c r="K37" s="613">
        <v>2</v>
      </c>
      <c r="L37" s="1136"/>
      <c r="M37" s="1137"/>
      <c r="N37" s="1137"/>
      <c r="O37" s="1137"/>
      <c r="P37" s="3324"/>
      <c r="Q37" s="1800" t="str">
        <f t="shared" si="11"/>
        <v>市政基础设施</v>
      </c>
      <c r="R37" s="771" t="s">
        <v>17</v>
      </c>
      <c r="S37" s="772">
        <f t="shared" si="12"/>
        <v>100</v>
      </c>
      <c r="T37" s="771" t="s">
        <v>17</v>
      </c>
      <c r="U37" s="772">
        <f t="shared" si="13"/>
        <v>100</v>
      </c>
      <c r="V37" s="771" t="s">
        <v>17</v>
      </c>
      <c r="W37" s="772">
        <f t="shared" si="14"/>
        <v>100</v>
      </c>
      <c r="X37" s="773"/>
      <c r="Y37" s="3326"/>
      <c r="Z37" s="55" t="str">
        <f t="shared" si="15"/>
        <v>市政基础设施</v>
      </c>
      <c r="AA37" s="774">
        <f t="shared" si="3"/>
        <v>1</v>
      </c>
      <c r="AB37" s="774">
        <f t="shared" si="4"/>
        <v>1</v>
      </c>
      <c r="AC37" s="774">
        <f t="shared" si="5"/>
        <v>1</v>
      </c>
    </row>
    <row r="38" spans="1:29" ht="15">
      <c r="A38" s="473"/>
      <c r="B38" s="423" t="s">
        <v>2664</v>
      </c>
      <c r="C38" s="2616" t="s">
        <v>3396</v>
      </c>
      <c r="D38" s="436">
        <v>100</v>
      </c>
      <c r="E38" s="2616" t="s">
        <v>3396</v>
      </c>
      <c r="F38" s="462">
        <f>SUMIF(114:114,E38,115:115)-SUMIF(114:114,C38,115:115)+100</f>
        <v>100</v>
      </c>
      <c r="G38" s="2616" t="s">
        <v>3396</v>
      </c>
      <c r="H38" s="436">
        <f>SUMIF(114:114,G38,115:115)-SUMIF(114:114,C38,115:115)+100</f>
        <v>100</v>
      </c>
      <c r="I38" s="2616" t="s">
        <v>3396</v>
      </c>
      <c r="J38" s="436">
        <f>SUMIF(114:114,I38,115:115)-SUMIF(114:114,C38,115:115)+100</f>
        <v>100</v>
      </c>
      <c r="K38" s="613">
        <v>2</v>
      </c>
      <c r="L38" s="1144"/>
      <c r="M38" s="1135"/>
      <c r="N38" s="1135"/>
      <c r="O38" s="1135"/>
      <c r="P38" s="3324" t="s">
        <v>2565</v>
      </c>
      <c r="Q38" s="1815" t="str">
        <f t="shared" si="11"/>
        <v>业态</v>
      </c>
      <c r="R38" s="775" t="s">
        <v>17</v>
      </c>
      <c r="S38" s="776">
        <f t="shared" si="12"/>
        <v>100</v>
      </c>
      <c r="T38" s="775" t="s">
        <v>17</v>
      </c>
      <c r="U38" s="776">
        <f t="shared" si="13"/>
        <v>100</v>
      </c>
      <c r="V38" s="775" t="s">
        <v>17</v>
      </c>
      <c r="W38" s="776">
        <f t="shared" si="14"/>
        <v>100</v>
      </c>
      <c r="X38" s="1818"/>
      <c r="Y38" s="3326" t="s">
        <v>2565</v>
      </c>
      <c r="Z38" s="1819" t="str">
        <f t="shared" si="15"/>
        <v>业态</v>
      </c>
      <c r="AA38" s="1816">
        <f t="shared" si="3"/>
        <v>1</v>
      </c>
      <c r="AB38" s="1816">
        <f t="shared" si="4"/>
        <v>1</v>
      </c>
      <c r="AC38" s="1816">
        <f t="shared" si="5"/>
        <v>1</v>
      </c>
    </row>
    <row r="39" spans="1:29" ht="15">
      <c r="A39" s="473"/>
      <c r="B39" s="423" t="s">
        <v>2665</v>
      </c>
      <c r="C39" s="2616" t="s">
        <v>3273</v>
      </c>
      <c r="D39" s="436">
        <v>100</v>
      </c>
      <c r="E39" s="2616" t="s">
        <v>3273</v>
      </c>
      <c r="F39" s="462">
        <f>SUMIF(116:116,E39,117:117)-SUMIF(116:116,C39,117:117)+100</f>
        <v>100</v>
      </c>
      <c r="G39" s="2616" t="s">
        <v>3273</v>
      </c>
      <c r="H39" s="436">
        <f>SUMIF(116:116,G39,117:117)-SUMIF(116:116,C39,117:117)+100</f>
        <v>100</v>
      </c>
      <c r="I39" s="2616" t="s">
        <v>3273</v>
      </c>
      <c r="J39" s="436">
        <f>SUMIF(116:116,I39,117:117)-SUMIF(116:116,C39,117:117)+100</f>
        <v>100</v>
      </c>
      <c r="K39" s="613">
        <v>2</v>
      </c>
      <c r="L39" s="1144"/>
      <c r="M39" s="1135"/>
      <c r="N39" s="1135"/>
      <c r="O39" s="1135"/>
      <c r="P39" s="3324"/>
      <c r="Q39" s="1815" t="str">
        <f t="shared" si="11"/>
        <v>层高</v>
      </c>
      <c r="R39" s="775" t="s">
        <v>17</v>
      </c>
      <c r="S39" s="776">
        <f t="shared" si="12"/>
        <v>100</v>
      </c>
      <c r="T39" s="775" t="s">
        <v>17</v>
      </c>
      <c r="U39" s="776">
        <f t="shared" si="13"/>
        <v>100</v>
      </c>
      <c r="V39" s="775" t="s">
        <v>17</v>
      </c>
      <c r="W39" s="776">
        <f t="shared" si="14"/>
        <v>100</v>
      </c>
      <c r="X39" s="1818"/>
      <c r="Y39" s="3326"/>
      <c r="Z39" s="1819" t="str">
        <f t="shared" si="15"/>
        <v>层高</v>
      </c>
      <c r="AA39" s="1816">
        <f t="shared" si="3"/>
        <v>1</v>
      </c>
      <c r="AB39" s="1816">
        <f t="shared" si="4"/>
        <v>1</v>
      </c>
      <c r="AC39" s="1816">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24"/>
      <c r="Q40" s="1815" t="str">
        <f t="shared" si="11"/>
        <v>单套建筑面积</v>
      </c>
      <c r="R40" s="775" t="s">
        <v>17</v>
      </c>
      <c r="S40" s="776">
        <f t="shared" si="12"/>
        <v>100</v>
      </c>
      <c r="T40" s="775" t="s">
        <v>17</v>
      </c>
      <c r="U40" s="776">
        <f t="shared" si="13"/>
        <v>100</v>
      </c>
      <c r="V40" s="775" t="s">
        <v>17</v>
      </c>
      <c r="W40" s="776">
        <f t="shared" si="14"/>
        <v>100</v>
      </c>
      <c r="X40" s="1818"/>
      <c r="Y40" s="3326"/>
      <c r="Z40" s="1819" t="str">
        <f t="shared" si="15"/>
        <v>单套建筑面积</v>
      </c>
      <c r="AA40" s="1816">
        <f t="shared" si="3"/>
        <v>1</v>
      </c>
      <c r="AB40" s="1816">
        <f t="shared" si="4"/>
        <v>1</v>
      </c>
      <c r="AC40" s="1816">
        <f t="shared" si="5"/>
        <v>1</v>
      </c>
    </row>
    <row r="41" spans="1:29" s="472" customFormat="1" ht="15">
      <c r="A41" s="469"/>
      <c r="B41" s="1817" t="s">
        <v>2667</v>
      </c>
      <c r="C41" s="617" t="s">
        <v>3402</v>
      </c>
      <c r="D41" s="436">
        <v>100</v>
      </c>
      <c r="E41" s="617" t="s">
        <v>3402</v>
      </c>
      <c r="F41" s="462">
        <f>SUMIF(120:120,E41,121:121)-SUMIF(120:120,C41,121:121)+100</f>
        <v>100</v>
      </c>
      <c r="G41" s="617" t="s">
        <v>3402</v>
      </c>
      <c r="H41" s="436">
        <f>SUMIF(120:120,G41,121:121)-SUMIF(120:120,C41,121:121)+100</f>
        <v>100</v>
      </c>
      <c r="I41" s="617" t="s">
        <v>3402</v>
      </c>
      <c r="J41" s="436">
        <f>SUMIF(120:120,I41,121:121)-SUMIF(120:120,C41,121:121)+100</f>
        <v>100</v>
      </c>
      <c r="K41" s="613">
        <v>2</v>
      </c>
      <c r="L41" s="1142"/>
      <c r="M41" s="1145"/>
      <c r="N41" s="1145"/>
      <c r="O41" s="1145"/>
      <c r="P41" s="3324"/>
      <c r="Q41" s="777" t="str">
        <f t="shared" si="11"/>
        <v>进深比</v>
      </c>
      <c r="R41" s="778" t="s">
        <v>17</v>
      </c>
      <c r="S41" s="779">
        <f t="shared" si="12"/>
        <v>100</v>
      </c>
      <c r="T41" s="778" t="s">
        <v>17</v>
      </c>
      <c r="U41" s="779">
        <f t="shared" si="13"/>
        <v>100</v>
      </c>
      <c r="V41" s="778" t="s">
        <v>17</v>
      </c>
      <c r="W41" s="779">
        <f t="shared" si="14"/>
        <v>100</v>
      </c>
      <c r="X41" s="780"/>
      <c r="Y41" s="3326"/>
      <c r="Z41" s="781" t="str">
        <f t="shared" si="15"/>
        <v>进深比</v>
      </c>
      <c r="AA41" s="1816">
        <f t="shared" si="3"/>
        <v>1</v>
      </c>
      <c r="AB41" s="1816">
        <f t="shared" si="4"/>
        <v>1</v>
      </c>
      <c r="AC41" s="1816">
        <f t="shared" si="5"/>
        <v>1</v>
      </c>
    </row>
    <row r="42" spans="1:29" ht="15">
      <c r="A42" s="473"/>
      <c r="B42" s="423" t="s">
        <v>2668</v>
      </c>
      <c r="C42" s="2616" t="s">
        <v>3252</v>
      </c>
      <c r="D42" s="436">
        <v>100</v>
      </c>
      <c r="E42" s="2616" t="s">
        <v>3388</v>
      </c>
      <c r="F42" s="462">
        <f>SUMIF(122:122,E42,123:123)-SUMIF(122:122,C42,123:123)+100</f>
        <v>98</v>
      </c>
      <c r="G42" s="2616" t="s">
        <v>3388</v>
      </c>
      <c r="H42" s="436">
        <f>SUMIF(122:122,G42,123:123)-SUMIF(122:122,C42,123:123)+100</f>
        <v>98</v>
      </c>
      <c r="I42" s="2616" t="s">
        <v>3250</v>
      </c>
      <c r="J42" s="436">
        <f>SUMIF(122:122,I42,123:123)-SUMIF(122:122,C42,123:123)+100</f>
        <v>102</v>
      </c>
      <c r="K42" s="613">
        <v>2</v>
      </c>
      <c r="L42" s="1144"/>
      <c r="M42" s="1135"/>
      <c r="N42" s="1135"/>
      <c r="O42" s="1135"/>
      <c r="P42" s="3324"/>
      <c r="Q42" s="1815" t="str">
        <f t="shared" si="11"/>
        <v>内部装修</v>
      </c>
      <c r="R42" s="775" t="s">
        <v>17</v>
      </c>
      <c r="S42" s="776">
        <f t="shared" si="12"/>
        <v>98</v>
      </c>
      <c r="T42" s="775" t="s">
        <v>17</v>
      </c>
      <c r="U42" s="776">
        <f t="shared" si="13"/>
        <v>98</v>
      </c>
      <c r="V42" s="775" t="s">
        <v>17</v>
      </c>
      <c r="W42" s="776">
        <f t="shared" si="14"/>
        <v>102</v>
      </c>
      <c r="X42" s="1818"/>
      <c r="Y42" s="3326"/>
      <c r="Z42" s="1819" t="str">
        <f t="shared" si="15"/>
        <v>内部装修</v>
      </c>
      <c r="AA42" s="1816">
        <f t="shared" si="3"/>
        <v>1.0204081632653061</v>
      </c>
      <c r="AB42" s="1816">
        <f t="shared" si="4"/>
        <v>1.0204081632653061</v>
      </c>
      <c r="AC42" s="1816">
        <f t="shared" si="5"/>
        <v>0.98039215686274506</v>
      </c>
    </row>
    <row r="43" spans="1:29" ht="15">
      <c r="A43" s="473"/>
      <c r="B43" s="423" t="s">
        <v>2576</v>
      </c>
      <c r="C43" s="2616" t="s">
        <v>3281</v>
      </c>
      <c r="D43" s="436">
        <v>100</v>
      </c>
      <c r="E43" s="2616" t="s">
        <v>3281</v>
      </c>
      <c r="F43" s="462">
        <f>SUMIF(124:124,E43,125:125)-SUMIF(124:124,C43,125:125)+100</f>
        <v>100</v>
      </c>
      <c r="G43" s="2616" t="s">
        <v>3281</v>
      </c>
      <c r="H43" s="436">
        <f>SUMIF(124:124,G43,125:125)-SUMIF(124:124,C43,125:125)+100</f>
        <v>100</v>
      </c>
      <c r="I43" s="2616" t="s">
        <v>3281</v>
      </c>
      <c r="J43" s="436">
        <f>SUMIF(124:124,I43,125:125)-SUMIF(124:124,C43,125:125)+100</f>
        <v>100</v>
      </c>
      <c r="K43" s="613">
        <v>2</v>
      </c>
      <c r="L43" s="1144"/>
      <c r="M43" s="1135"/>
      <c r="N43" s="1135"/>
      <c r="O43" s="1135"/>
      <c r="P43" s="3324"/>
      <c r="Q43" s="1815" t="str">
        <f t="shared" si="11"/>
        <v>内部装修维护情况</v>
      </c>
      <c r="R43" s="775" t="s">
        <v>17</v>
      </c>
      <c r="S43" s="776">
        <f t="shared" si="12"/>
        <v>100</v>
      </c>
      <c r="T43" s="775" t="s">
        <v>17</v>
      </c>
      <c r="U43" s="776">
        <f t="shared" si="13"/>
        <v>100</v>
      </c>
      <c r="V43" s="775" t="s">
        <v>17</v>
      </c>
      <c r="W43" s="776">
        <f t="shared" si="14"/>
        <v>100</v>
      </c>
      <c r="X43" s="1818"/>
      <c r="Y43" s="3326"/>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24"/>
      <c r="Q44" s="1800">
        <f t="shared" si="11"/>
        <v>111</v>
      </c>
      <c r="R44" s="771" t="s">
        <v>17</v>
      </c>
      <c r="S44" s="772">
        <f t="shared" si="12"/>
        <v>100</v>
      </c>
      <c r="T44" s="771" t="s">
        <v>17</v>
      </c>
      <c r="U44" s="772">
        <f t="shared" si="13"/>
        <v>100</v>
      </c>
      <c r="V44" s="771" t="s">
        <v>17</v>
      </c>
      <c r="W44" s="772">
        <f t="shared" si="14"/>
        <v>100</v>
      </c>
      <c r="X44" s="773"/>
      <c r="Y44" s="3326"/>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24"/>
      <c r="Q45" s="1815">
        <f t="shared" si="11"/>
        <v>111</v>
      </c>
      <c r="R45" s="775" t="s">
        <v>17</v>
      </c>
      <c r="S45" s="776">
        <f t="shared" si="12"/>
        <v>100</v>
      </c>
      <c r="T45" s="775" t="s">
        <v>17</v>
      </c>
      <c r="U45" s="776">
        <f t="shared" si="13"/>
        <v>100</v>
      </c>
      <c r="V45" s="775" t="s">
        <v>17</v>
      </c>
      <c r="W45" s="776">
        <f t="shared" si="14"/>
        <v>100</v>
      </c>
      <c r="X45" s="1818"/>
      <c r="Y45" s="3326"/>
      <c r="Z45" s="1819">
        <f t="shared" si="15"/>
        <v>111</v>
      </c>
      <c r="AA45" s="1816">
        <f t="shared" si="3"/>
        <v>1</v>
      </c>
      <c r="AB45" s="1816">
        <f t="shared" si="4"/>
        <v>1</v>
      </c>
      <c r="AC45" s="181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25"/>
      <c r="Q46" s="1815">
        <f t="shared" si="11"/>
        <v>111</v>
      </c>
      <c r="R46" s="775" t="s">
        <v>17</v>
      </c>
      <c r="S46" s="776">
        <f t="shared" si="12"/>
        <v>100</v>
      </c>
      <c r="T46" s="775" t="s">
        <v>17</v>
      </c>
      <c r="U46" s="776">
        <f t="shared" si="13"/>
        <v>100</v>
      </c>
      <c r="V46" s="775" t="s">
        <v>17</v>
      </c>
      <c r="W46" s="776">
        <f t="shared" si="14"/>
        <v>100</v>
      </c>
      <c r="X46" s="1818"/>
      <c r="Y46" s="3327"/>
      <c r="Z46" s="1819">
        <f t="shared" si="15"/>
        <v>111</v>
      </c>
      <c r="AA46" s="1816">
        <f t="shared" si="3"/>
        <v>1</v>
      </c>
      <c r="AB46" s="1816">
        <f t="shared" si="4"/>
        <v>1</v>
      </c>
      <c r="AC46" s="1816">
        <f t="shared" si="5"/>
        <v>1</v>
      </c>
    </row>
    <row r="47" spans="1:29" ht="15">
      <c r="A47" s="480" t="s">
        <v>2577</v>
      </c>
      <c r="B47" s="481"/>
      <c r="C47" s="1411" t="s">
        <v>1</v>
      </c>
      <c r="D47" s="1412"/>
      <c r="E47" s="1413">
        <f>ROUND(99000*L47,0)</f>
        <v>98010</v>
      </c>
      <c r="F47" s="1414"/>
      <c r="G47" s="1415">
        <f>ROUND(100000*L47,0)</f>
        <v>99000</v>
      </c>
      <c r="H47" s="1416"/>
      <c r="I47" s="1413">
        <f>ROUND(110000*L47,0)</f>
        <v>108900</v>
      </c>
      <c r="J47" s="1416"/>
      <c r="K47" s="784"/>
      <c r="L47" s="1147">
        <v>0.99</v>
      </c>
      <c r="M47" s="1148"/>
      <c r="N47" s="1135"/>
      <c r="O47" s="1148"/>
      <c r="P47" s="3314" t="str">
        <f>A47</f>
        <v>成交单价（元/平方米）</v>
      </c>
      <c r="Q47" s="3314"/>
      <c r="R47" s="3348">
        <f>E47</f>
        <v>98010</v>
      </c>
      <c r="S47" s="3348"/>
      <c r="T47" s="3348">
        <f>G47</f>
        <v>99000</v>
      </c>
      <c r="U47" s="3348"/>
      <c r="V47" s="3348">
        <f>I47</f>
        <v>108900</v>
      </c>
      <c r="W47" s="3348"/>
      <c r="X47" s="760"/>
      <c r="Y47" s="782"/>
      <c r="Z47" s="760"/>
      <c r="AA47" s="760"/>
      <c r="AB47" s="760"/>
      <c r="AC47" s="760"/>
    </row>
    <row r="48" spans="1:29" ht="15.75" thickBot="1">
      <c r="A48" s="487" t="s">
        <v>2669</v>
      </c>
      <c r="B48" s="488"/>
      <c r="C48" s="1417">
        <f>R49</f>
        <v>110962</v>
      </c>
      <c r="D48" s="1418"/>
      <c r="E48" s="1419">
        <f>R48</f>
        <v>103611</v>
      </c>
      <c r="F48" s="1419"/>
      <c r="G48" s="1417">
        <f>T48</f>
        <v>115431</v>
      </c>
      <c r="H48" s="1418"/>
      <c r="I48" s="1419">
        <f>V48</f>
        <v>113845</v>
      </c>
      <c r="J48" s="1418"/>
      <c r="K48" s="785"/>
      <c r="L48" s="1147"/>
      <c r="M48" s="1148"/>
      <c r="N48" s="1135"/>
      <c r="O48" s="1148"/>
      <c r="P48" s="3314" t="str">
        <f>A48</f>
        <v>比较价值（元/平方米）</v>
      </c>
      <c r="Q48" s="3314"/>
      <c r="R48" s="3315">
        <f>IF(F1="售价",ROUND(PRODUCT(R47,AA7:AA46),0),ROUND(PRODUCT(R47,AA7:AA46),1))</f>
        <v>103611</v>
      </c>
      <c r="S48" s="3315"/>
      <c r="T48" s="3315">
        <f>IF(F1="售价",ROUND(PRODUCT(T47,AB7:AB46),0),ROUND(PRODUCT(T47,AB7:AB46),1))</f>
        <v>115431</v>
      </c>
      <c r="U48" s="3315"/>
      <c r="V48" s="3315">
        <f>IF(F1="售价",ROUND(PRODUCT(V47,AC7:AC46),0),ROUND(PRODUCT(V47,AC7:AC46),1))</f>
        <v>113845</v>
      </c>
      <c r="W48" s="3315"/>
      <c r="X48" s="760"/>
      <c r="Y48" s="760"/>
      <c r="Z48" s="760"/>
      <c r="AA48" s="760"/>
      <c r="AB48" s="760"/>
      <c r="AC48" s="760"/>
    </row>
    <row r="49" spans="1:29" ht="15.75" thickBot="1">
      <c r="A49" s="493" t="s">
        <v>2670</v>
      </c>
      <c r="B49" s="494"/>
      <c r="C49" s="1421">
        <f>R49</f>
        <v>110962</v>
      </c>
      <c r="D49" s="1421"/>
      <c r="E49" s="1421"/>
      <c r="F49" s="1421"/>
      <c r="G49" s="1421"/>
      <c r="H49" s="1421"/>
      <c r="I49" s="1421"/>
      <c r="J49" s="1421"/>
      <c r="K49" s="786"/>
      <c r="L49" s="1147"/>
      <c r="M49" s="1148"/>
      <c r="N49" s="1135"/>
      <c r="O49" s="1148"/>
      <c r="P49" s="3377" t="str">
        <f>A49</f>
        <v>估价对象XX用房的比较价值（楼面单价，元/平方米）</v>
      </c>
      <c r="Q49" s="3378"/>
      <c r="R49" s="3379">
        <f>IF(F1="售价",ROUND(AVERAGE(R48:V48),0),ROUND(AVERAGE(R48:V48),1))</f>
        <v>110962</v>
      </c>
      <c r="S49" s="3379"/>
      <c r="T49" s="3379"/>
      <c r="U49" s="3379"/>
      <c r="V49" s="3379"/>
      <c r="W49" s="337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5.7147229874502603E-2</v>
      </c>
      <c r="F52" s="501" t="str">
        <f>IF(OR(E52&gt;=0.3,E52&lt;=-0.3),"超过30%","")</f>
        <v/>
      </c>
      <c r="G52" s="500">
        <f>IF(G47&lt;G48,G48/G47-1,G47/G48-1)</f>
        <v>0.16596969696969688</v>
      </c>
      <c r="H52" s="501" t="str">
        <f>IF(OR(G52&gt;=0.3,G52&lt;=-0.3),"超过30%","")</f>
        <v/>
      </c>
      <c r="I52" s="500">
        <f>IF(I47&lt;I48,I48/I47-1,I47/I48-1)</f>
        <v>4.5408631772268171E-2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0.11408055129281647</v>
      </c>
      <c r="F53" s="501" t="str">
        <f>IF(OR(E53&gt;=0.2,E53&lt;=-0.2),"超过20%","")</f>
        <v/>
      </c>
      <c r="G53" s="500">
        <f>IF(G48&lt;I48,I48/G48-1,G48/I48-1)</f>
        <v>1.3931222275901378E-2</v>
      </c>
      <c r="H53" s="501" t="str">
        <f>IF(OR(G53&gt;=0.2,G53&lt;=-0.2),"超过20%","")</f>
        <v/>
      </c>
      <c r="I53" s="500">
        <f>IF(I48&lt;E48,E48/I48-1,I48/E48-1)</f>
        <v>9.877329627163145E-2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1.0101010101010166E-2</v>
      </c>
      <c r="F54" s="501" t="str">
        <f>IF(OR(E54&gt;=0.3,E54&lt;=-0.3),"超过30%","")</f>
        <v/>
      </c>
      <c r="G54" s="500">
        <f>IF(G47&lt;I47,I47/G47-1,G47/I47-1)</f>
        <v>0.10000000000000009</v>
      </c>
      <c r="H54" s="501" t="str">
        <f>IF(OR(G54&gt;=0.3,G54&lt;=-0.3),"超过30%","")</f>
        <v/>
      </c>
      <c r="I54" s="500">
        <f>IF(I47&lt;E47,E47/I47-1,I47/E47-1)</f>
        <v>0.11111111111111116</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05" t="s">
        <v>3361</v>
      </c>
      <c r="D86" s="3005" t="s">
        <v>3363</v>
      </c>
      <c r="E86" s="3005" t="s">
        <v>3365</v>
      </c>
      <c r="F86" s="3005" t="s">
        <v>3366</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05" t="s">
        <v>3367</v>
      </c>
      <c r="D88" s="3005" t="s">
        <v>3368</v>
      </c>
      <c r="E88" s="3005" t="s">
        <v>3369</v>
      </c>
      <c r="F88" s="3070" t="s">
        <v>3370</v>
      </c>
      <c r="G88" s="3005" t="s">
        <v>3371</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05" t="s">
        <v>3367</v>
      </c>
      <c r="D90" s="3005" t="s">
        <v>3372</v>
      </c>
      <c r="E90" s="3005" t="s">
        <v>3369</v>
      </c>
      <c r="F90" s="3005" t="s">
        <v>3370</v>
      </c>
      <c r="G90" s="3005" t="s">
        <v>3371</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3373</v>
      </c>
      <c r="D92" s="555" t="s">
        <v>3374</v>
      </c>
      <c r="E92" s="555" t="s">
        <v>3375</v>
      </c>
      <c r="F92" s="555" t="s">
        <v>3376</v>
      </c>
      <c r="G92" s="555" t="s">
        <v>3377</v>
      </c>
      <c r="H92" s="555" t="s">
        <v>3378</v>
      </c>
      <c r="I92" s="555"/>
      <c r="J92" s="555"/>
      <c r="K92" s="555"/>
      <c r="L92" s="581"/>
      <c r="M92" s="582"/>
      <c r="N92" s="1156"/>
      <c r="O92" s="1156"/>
      <c r="P92" s="2633"/>
      <c r="Q92" s="505"/>
    </row>
    <row r="93" spans="1:17" ht="15.75" thickBot="1">
      <c r="A93" s="535"/>
      <c r="B93" s="544"/>
      <c r="C93" s="537">
        <v>100</v>
      </c>
      <c r="D93" s="3088">
        <v>75</v>
      </c>
      <c r="E93" s="3088">
        <v>65</v>
      </c>
      <c r="F93" s="3088">
        <v>65</v>
      </c>
      <c r="G93" s="3088">
        <v>55</v>
      </c>
      <c r="H93" s="3088">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06" t="s">
        <v>3379</v>
      </c>
      <c r="D100" s="3006" t="s">
        <v>3380</v>
      </c>
      <c r="E100" s="3006" t="s">
        <v>3466</v>
      </c>
      <c r="F100" s="3006" t="s">
        <v>3465</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94</v>
      </c>
      <c r="E101" s="545">
        <f t="shared" si="22"/>
        <v>88</v>
      </c>
      <c r="F101" s="545">
        <f t="shared" si="22"/>
        <v>82</v>
      </c>
      <c r="G101" s="545">
        <f t="shared" si="22"/>
        <v>76</v>
      </c>
      <c r="H101" s="545">
        <f t="shared" si="22"/>
        <v>70</v>
      </c>
      <c r="I101" s="545">
        <f t="shared" si="22"/>
        <v>64</v>
      </c>
      <c r="J101" s="545">
        <f t="shared" si="22"/>
        <v>58</v>
      </c>
      <c r="K101" s="545">
        <f t="shared" si="22"/>
        <v>52</v>
      </c>
      <c r="L101" s="545">
        <f t="shared" si="22"/>
        <v>46</v>
      </c>
      <c r="M101" s="546">
        <f t="shared" si="22"/>
        <v>40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05" t="s">
        <v>3383</v>
      </c>
      <c r="D105" s="3005" t="s">
        <v>3384</v>
      </c>
      <c r="E105" s="3007" t="s">
        <v>3385</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05" t="s">
        <v>3386</v>
      </c>
      <c r="D107" s="3005" t="s">
        <v>3387</v>
      </c>
      <c r="E107" s="3005" t="s">
        <v>3389</v>
      </c>
      <c r="F107" s="3007" t="s">
        <v>3390</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05" t="s">
        <v>3391</v>
      </c>
      <c r="D112" s="3005" t="s">
        <v>3392</v>
      </c>
      <c r="E112" s="3005" t="s">
        <v>3393</v>
      </c>
      <c r="F112" s="3005" t="s">
        <v>3394</v>
      </c>
      <c r="G112" s="3005" t="s">
        <v>3395</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05" t="s">
        <v>3397</v>
      </c>
      <c r="D114" s="3005" t="s">
        <v>3398</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05" t="s">
        <v>3399</v>
      </c>
      <c r="D116" s="3005" t="s">
        <v>3400</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07" t="s">
        <v>3401</v>
      </c>
      <c r="D120" s="3007" t="s">
        <v>3403</v>
      </c>
      <c r="E120" s="3007" t="s">
        <v>3404</v>
      </c>
      <c r="F120" s="3007" t="s">
        <v>3405</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05" t="s">
        <v>3386</v>
      </c>
      <c r="D122" s="3005" t="s">
        <v>3387</v>
      </c>
      <c r="E122" s="3005" t="s">
        <v>3389</v>
      </c>
      <c r="F122" s="3007" t="s">
        <v>3390</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5" sqref="B25:B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7" t="s">
        <v>3006</v>
      </c>
      <c r="D1" s="3368"/>
      <c r="E1" s="3368"/>
      <c r="F1" s="3368"/>
      <c r="G1" s="3368"/>
      <c r="H1" s="3368"/>
      <c r="I1" s="3368"/>
      <c r="J1" s="3368"/>
      <c r="K1" s="3368"/>
      <c r="L1" s="3368"/>
      <c r="M1" s="3368"/>
      <c r="N1" s="3368"/>
      <c r="O1" s="3368"/>
      <c r="P1" s="3368"/>
      <c r="Q1" s="3368"/>
      <c r="R1" s="3368"/>
      <c r="S1" s="3369"/>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3373</v>
      </c>
      <c r="D17" s="555" t="s">
        <v>3374</v>
      </c>
      <c r="E17" s="555" t="s">
        <v>3375</v>
      </c>
      <c r="F17" s="555" t="s">
        <v>3376</v>
      </c>
      <c r="G17" s="555" t="s">
        <v>3377</v>
      </c>
      <c r="H17" s="555" t="s">
        <v>3378</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88">
        <v>75</v>
      </c>
      <c r="E18" s="3088">
        <v>65</v>
      </c>
      <c r="F18" s="3088">
        <v>65</v>
      </c>
      <c r="G18" s="3088">
        <v>55</v>
      </c>
      <c r="H18" s="3088">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IF(D20="——",S22,S22-F20)</f>
        <v>37948</v>
      </c>
      <c r="C20" s="169"/>
      <c r="D20" s="2922" t="s">
        <v>70</v>
      </c>
      <c r="E20" s="1798"/>
      <c r="F20" s="1208">
        <f ca="1">SUMIF(INDIRECT("'"&amp;H20&amp;"'"&amp;"!A:A"),"承租人权益价值",INDIRECT("'"&amp;H20&amp;"'"&amp;"!c:c"))</f>
        <v>-199</v>
      </c>
      <c r="G20" s="1208" t="s">
        <v>3020</v>
      </c>
      <c r="H20" s="2923" t="s">
        <v>3418</v>
      </c>
      <c r="I20" s="169"/>
      <c r="J20" s="169"/>
      <c r="K20" s="169"/>
      <c r="L20" s="169"/>
      <c r="M20" s="169"/>
      <c r="N20" s="169"/>
      <c r="O20" s="169"/>
      <c r="P20" s="169"/>
      <c r="Q20" s="169"/>
      <c r="R20" s="789"/>
      <c r="S20" s="138"/>
    </row>
    <row r="21" spans="1:45" ht="15.75">
      <c r="A21" s="716" t="s">
        <v>3021</v>
      </c>
      <c r="B21" s="339">
        <f>R22</f>
        <v>83964</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85" t="s">
        <v>33</v>
      </c>
      <c r="D22" s="3286"/>
      <c r="E22" s="3286"/>
      <c r="F22" s="3286"/>
      <c r="G22" s="3286"/>
      <c r="H22" s="3286"/>
      <c r="I22" s="3286"/>
      <c r="J22" s="3286"/>
      <c r="K22" s="3286"/>
      <c r="L22" s="3286"/>
      <c r="M22" s="3286"/>
      <c r="N22" s="3286"/>
      <c r="O22" s="3286"/>
      <c r="P22" s="3286"/>
      <c r="Q22" s="3366"/>
      <c r="R22" s="717">
        <f>ROUND(S22*10000/B22,0)</f>
        <v>83964</v>
      </c>
      <c r="S22" s="24">
        <f>SUM(S24:S10000)</f>
        <v>37948</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面积!B39</f>
        <v>102</v>
      </c>
      <c r="B24" s="719">
        <f>'比较法-商业'!C33</f>
        <v>1377.98</v>
      </c>
      <c r="C24" s="720">
        <v>1</v>
      </c>
      <c r="D24" s="721"/>
      <c r="E24" s="720">
        <v>1</v>
      </c>
      <c r="F24" s="721"/>
      <c r="G24" s="720">
        <v>1</v>
      </c>
      <c r="H24" s="721"/>
      <c r="I24" s="720">
        <v>1</v>
      </c>
      <c r="J24" s="721"/>
      <c r="K24" s="720">
        <v>1</v>
      </c>
      <c r="L24" s="721"/>
      <c r="M24" s="720">
        <v>1</v>
      </c>
      <c r="N24" s="721"/>
      <c r="O24" s="720">
        <v>1</v>
      </c>
      <c r="P24" s="721" t="s">
        <v>3415</v>
      </c>
      <c r="Q24" s="720">
        <v>1</v>
      </c>
      <c r="R24" s="722">
        <f>'比较法-商业'!C49</f>
        <v>110962</v>
      </c>
      <c r="S24" s="720">
        <f t="shared" ref="S24:S87" si="5">ROUND(R24*B24/10000,0)</f>
        <v>15290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5" t="s">
        <v>3459</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3414</v>
      </c>
      <c r="Q25" s="24">
        <f>(SUMIF($17:$17,P25,$18:$18)-SUMIF($17:$17,$P$24,$18:$18)+100)/100</f>
        <v>0.65</v>
      </c>
      <c r="R25" s="717">
        <f>IF(B25="",0,ROUND($R$24*C25*E25*G25*I25*K25*M25*O25*Q25,0))</f>
        <v>72125</v>
      </c>
      <c r="S25" s="362">
        <f t="shared" si="5"/>
        <v>11243</v>
      </c>
    </row>
    <row r="26" spans="1:45">
      <c r="A26" s="160" t="s">
        <v>3460</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3414</v>
      </c>
      <c r="Q26" s="24">
        <f t="shared" ref="Q26:Q89" si="13">(SUMIF($17:$17,P26,$18:$18)-SUMIF($17:$17,$P$24,$18:$18)+100)/100</f>
        <v>0.65</v>
      </c>
      <c r="R26" s="717">
        <f t="shared" ref="R26:R89" si="14">IF(B26="",0,ROUND($R$24*C26*E26*G26*I26*K26*M26*O26*Q26,0))</f>
        <v>72125</v>
      </c>
      <c r="S26" s="362">
        <f t="shared" si="5"/>
        <v>11415</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C48" sqref="C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3406</v>
      </c>
      <c r="E1" s="2660"/>
      <c r="F1" s="2587" t="s">
        <v>3228</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1</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3022"/>
      <c r="Y4" s="3385" t="s">
        <v>2651</v>
      </c>
      <c r="Z4" s="3386"/>
      <c r="AA4" s="3380" t="s">
        <v>2647</v>
      </c>
      <c r="AB4" s="3348" t="s">
        <v>2648</v>
      </c>
      <c r="AC4" s="3380" t="s">
        <v>2649</v>
      </c>
    </row>
    <row r="5" spans="1:29" ht="15">
      <c r="A5" s="405"/>
      <c r="B5" s="406"/>
      <c r="C5" s="3364" t="s">
        <v>3408</v>
      </c>
      <c r="D5" s="3352"/>
      <c r="E5" s="3365" t="s">
        <v>3420</v>
      </c>
      <c r="F5" s="3363"/>
      <c r="G5" s="3364" t="s">
        <v>3409</v>
      </c>
      <c r="H5" s="3352"/>
      <c r="I5" s="3364" t="s">
        <v>3421</v>
      </c>
      <c r="J5" s="3352"/>
      <c r="K5" s="611"/>
      <c r="L5" s="1134"/>
      <c r="M5" s="1135"/>
      <c r="N5" s="1135"/>
      <c r="O5" s="1135"/>
      <c r="P5" s="3383"/>
      <c r="Q5" s="3338"/>
      <c r="R5" s="3343"/>
      <c r="S5" s="3344"/>
      <c r="T5" s="3343"/>
      <c r="U5" s="3344"/>
      <c r="V5" s="3348"/>
      <c r="W5" s="3348"/>
      <c r="X5" s="3022"/>
      <c r="Y5" s="3343"/>
      <c r="Z5" s="3344"/>
      <c r="AA5" s="3360"/>
      <c r="AB5" s="3348"/>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3022"/>
      <c r="Y6" s="3345"/>
      <c r="Z6" s="3346"/>
      <c r="AA6" s="3361"/>
      <c r="AB6" s="3348"/>
      <c r="AC6" s="3361"/>
    </row>
    <row r="7" spans="1:29" s="117" customFormat="1" ht="15.75" thickBot="1">
      <c r="A7" s="409" t="s">
        <v>2548</v>
      </c>
      <c r="B7" s="410"/>
      <c r="C7" s="411">
        <f>'数据-取费表'!B2</f>
        <v>43104</v>
      </c>
      <c r="D7" s="412">
        <v>100</v>
      </c>
      <c r="E7" s="413">
        <f>C7</f>
        <v>43104</v>
      </c>
      <c r="F7" s="414">
        <f>SUMIF(58:58,YEAR(E7)&amp;"-"&amp;MONTH(E7),59:59)</f>
        <v>100</v>
      </c>
      <c r="G7" s="413">
        <f>C7</f>
        <v>43104</v>
      </c>
      <c r="H7" s="412">
        <f>SUMIF(58:58,YEAR(G7)&amp;"-"&amp;MONTH(G7),59:59)</f>
        <v>100</v>
      </c>
      <c r="I7" s="413">
        <f>C7</f>
        <v>43104</v>
      </c>
      <c r="J7" s="412">
        <f>SUMIF(58:58,YEAR(I7)&amp;"-"&amp;MONTH(I7),59:59)</f>
        <v>100</v>
      </c>
      <c r="K7" s="612"/>
      <c r="L7" s="1136"/>
      <c r="M7" s="1137"/>
      <c r="N7" s="1137"/>
      <c r="O7" s="1137"/>
      <c r="P7" s="3355" t="s">
        <v>2549</v>
      </c>
      <c r="Q7" s="3356"/>
      <c r="R7" s="771" t="s">
        <v>17</v>
      </c>
      <c r="S7" s="772">
        <f t="shared" ref="S7:S15" si="0">F7</f>
        <v>100</v>
      </c>
      <c r="T7" s="771" t="s">
        <v>17</v>
      </c>
      <c r="U7" s="772">
        <f t="shared" ref="U7:U15" si="1">H7</f>
        <v>100</v>
      </c>
      <c r="V7" s="771" t="s">
        <v>17</v>
      </c>
      <c r="W7" s="772">
        <f t="shared" ref="W7:W15" si="2">J7</f>
        <v>100</v>
      </c>
      <c r="X7" s="773"/>
      <c r="Y7" s="3355" t="s">
        <v>2549</v>
      </c>
      <c r="Z7" s="3354"/>
      <c r="AA7" s="774">
        <f>D7/F7</f>
        <v>1</v>
      </c>
      <c r="AB7" s="774">
        <f>D7/H7</f>
        <v>1</v>
      </c>
      <c r="AC7" s="774">
        <f>D7/J7</f>
        <v>1</v>
      </c>
    </row>
    <row r="8" spans="1:29" s="117" customFormat="1" ht="15.75" thickBot="1">
      <c r="A8" s="409" t="s">
        <v>2550</v>
      </c>
      <c r="B8" s="410"/>
      <c r="C8" s="415" t="s">
        <v>2652</v>
      </c>
      <c r="D8" s="412">
        <v>100</v>
      </c>
      <c r="E8" s="415" t="s">
        <v>3278</v>
      </c>
      <c r="F8" s="414">
        <f>SUMIF(61:61,E8,62:62)-SUMIF(61:61,C8,62:62)+100</f>
        <v>100</v>
      </c>
      <c r="G8" s="415" t="s">
        <v>3278</v>
      </c>
      <c r="H8" s="412">
        <f>SUMIF(61:61,G8,62:62)-SUMIF(61:61,C8,62:62)+100</f>
        <v>100</v>
      </c>
      <c r="I8" s="415" t="s">
        <v>3278</v>
      </c>
      <c r="J8" s="412">
        <f>SUMIF(61:61,I8,62:62)-SUMIF(61:61,C8,62:62)+100</f>
        <v>100</v>
      </c>
      <c r="K8" s="612"/>
      <c r="L8" s="1136"/>
      <c r="M8" s="1137"/>
      <c r="N8" s="1137"/>
      <c r="O8" s="1137"/>
      <c r="P8" s="3355" t="s">
        <v>2552</v>
      </c>
      <c r="Q8" s="3354"/>
      <c r="R8" s="771" t="s">
        <v>17</v>
      </c>
      <c r="S8" s="772">
        <f t="shared" si="0"/>
        <v>100</v>
      </c>
      <c r="T8" s="771" t="s">
        <v>17</v>
      </c>
      <c r="U8" s="772">
        <f t="shared" si="1"/>
        <v>100</v>
      </c>
      <c r="V8" s="771" t="s">
        <v>17</v>
      </c>
      <c r="W8" s="772">
        <f t="shared" si="2"/>
        <v>100</v>
      </c>
      <c r="X8" s="773"/>
      <c r="Y8" s="3355" t="s">
        <v>2552</v>
      </c>
      <c r="Z8" s="3354"/>
      <c r="AA8" s="774">
        <f t="shared" ref="AA8:AA46" si="3">D8/F8</f>
        <v>1</v>
      </c>
      <c r="AB8" s="774">
        <f t="shared" ref="AB8:AB46" si="4">D8/H8</f>
        <v>1</v>
      </c>
      <c r="AC8" s="774">
        <f t="shared" ref="AC8:AC46" si="5">D8/J8</f>
        <v>1</v>
      </c>
    </row>
    <row r="9" spans="1:29" s="117" customFormat="1">
      <c r="A9" s="416" t="s">
        <v>2553</v>
      </c>
      <c r="B9" s="71" t="s">
        <v>2554</v>
      </c>
      <c r="C9" s="3008" t="s">
        <v>3411</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13" t="s">
        <v>2555</v>
      </c>
      <c r="Q9" s="3015" t="str">
        <f t="shared" ref="Q9:Q15" si="6">B9</f>
        <v>用途</v>
      </c>
      <c r="R9" s="771" t="s">
        <v>17</v>
      </c>
      <c r="S9" s="772">
        <f t="shared" si="0"/>
        <v>100</v>
      </c>
      <c r="T9" s="771" t="s">
        <v>17</v>
      </c>
      <c r="U9" s="772">
        <f t="shared" si="1"/>
        <v>100</v>
      </c>
      <c r="V9" s="771" t="s">
        <v>17</v>
      </c>
      <c r="W9" s="772">
        <f t="shared" si="2"/>
        <v>100</v>
      </c>
      <c r="X9" s="773"/>
      <c r="Y9" s="3148" t="s">
        <v>2556</v>
      </c>
      <c r="Z9" s="3016" t="str">
        <f t="shared" ref="Z9:Z15" si="7">Q9</f>
        <v>用途</v>
      </c>
      <c r="AA9" s="774">
        <f t="shared" si="3"/>
        <v>1</v>
      </c>
      <c r="AB9" s="774">
        <f t="shared" si="4"/>
        <v>1</v>
      </c>
      <c r="AC9" s="774">
        <f t="shared" si="5"/>
        <v>1</v>
      </c>
    </row>
    <row r="10" spans="1:29" s="428" customFormat="1" ht="27">
      <c r="A10" s="422"/>
      <c r="B10" s="3017" t="s">
        <v>2557</v>
      </c>
      <c r="C10" s="424" t="s">
        <v>3412</v>
      </c>
      <c r="D10" s="136">
        <v>100</v>
      </c>
      <c r="E10" s="425" t="s">
        <v>3412</v>
      </c>
      <c r="F10" s="426">
        <f>SUMIF(65:65,E10,66:66)-SUMIF(65:65,C10,66:66)+100</f>
        <v>100</v>
      </c>
      <c r="G10" s="424" t="s">
        <v>3412</v>
      </c>
      <c r="H10" s="136">
        <f>SUMIF(65:65,G10,66:66)-SUMIF(65:65,C10,66:66)+100</f>
        <v>100</v>
      </c>
      <c r="I10" s="424" t="s">
        <v>3412</v>
      </c>
      <c r="J10" s="136">
        <f>SUMIF(65:65,I10,66:66)-SUMIF(65:65,C10,66:66)+100</f>
        <v>100</v>
      </c>
      <c r="K10" s="613">
        <v>2</v>
      </c>
      <c r="L10" s="1139"/>
      <c r="M10" s="1140"/>
      <c r="N10" s="1140"/>
      <c r="O10" s="1140"/>
      <c r="P10" s="3313"/>
      <c r="Q10" s="3015" t="str">
        <f t="shared" si="6"/>
        <v>土地使用年限（年）</v>
      </c>
      <c r="R10" s="771" t="s">
        <v>17</v>
      </c>
      <c r="S10" s="772">
        <f t="shared" si="0"/>
        <v>100</v>
      </c>
      <c r="T10" s="771" t="s">
        <v>17</v>
      </c>
      <c r="U10" s="772">
        <f t="shared" si="1"/>
        <v>100</v>
      </c>
      <c r="V10" s="771" t="s">
        <v>17</v>
      </c>
      <c r="W10" s="772">
        <f t="shared" si="2"/>
        <v>100</v>
      </c>
      <c r="X10" s="773"/>
      <c r="Y10" s="3148"/>
      <c r="Z10" s="3016" t="str">
        <f t="shared" si="7"/>
        <v>土地使用年限（年）</v>
      </c>
      <c r="AA10" s="774">
        <f t="shared" si="3"/>
        <v>1</v>
      </c>
      <c r="AB10" s="774">
        <f t="shared" si="4"/>
        <v>1</v>
      </c>
      <c r="AC10" s="774">
        <f t="shared" si="5"/>
        <v>1</v>
      </c>
    </row>
    <row r="11" spans="1:29" ht="15">
      <c r="A11" s="429"/>
      <c r="B11" s="3017"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13"/>
      <c r="Q11" s="3015" t="str">
        <f t="shared" si="6"/>
        <v>容积率</v>
      </c>
      <c r="R11" s="771" t="s">
        <v>17</v>
      </c>
      <c r="S11" s="772">
        <f t="shared" si="0"/>
        <v>100</v>
      </c>
      <c r="T11" s="771" t="s">
        <v>17</v>
      </c>
      <c r="U11" s="772">
        <f t="shared" si="1"/>
        <v>100</v>
      </c>
      <c r="V11" s="771" t="s">
        <v>17</v>
      </c>
      <c r="W11" s="772">
        <f t="shared" si="2"/>
        <v>100</v>
      </c>
      <c r="X11" s="773"/>
      <c r="Y11" s="3148"/>
      <c r="Z11" s="3016"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13"/>
      <c r="Q12" s="3015">
        <f t="shared" si="6"/>
        <v>111</v>
      </c>
      <c r="R12" s="771" t="s">
        <v>17</v>
      </c>
      <c r="S12" s="772">
        <f t="shared" si="0"/>
        <v>100</v>
      </c>
      <c r="T12" s="771" t="s">
        <v>17</v>
      </c>
      <c r="U12" s="772">
        <f t="shared" si="1"/>
        <v>100</v>
      </c>
      <c r="V12" s="771" t="s">
        <v>17</v>
      </c>
      <c r="W12" s="772">
        <f t="shared" si="2"/>
        <v>100</v>
      </c>
      <c r="X12" s="773"/>
      <c r="Y12" s="3148"/>
      <c r="Z12" s="3016">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13"/>
      <c r="Q13" s="3015">
        <f t="shared" si="6"/>
        <v>111</v>
      </c>
      <c r="R13" s="771" t="s">
        <v>17</v>
      </c>
      <c r="S13" s="772">
        <f t="shared" si="0"/>
        <v>100</v>
      </c>
      <c r="T13" s="771" t="s">
        <v>17</v>
      </c>
      <c r="U13" s="772">
        <f t="shared" si="1"/>
        <v>100</v>
      </c>
      <c r="V13" s="771" t="s">
        <v>17</v>
      </c>
      <c r="W13" s="772">
        <f t="shared" si="2"/>
        <v>100</v>
      </c>
      <c r="X13" s="773"/>
      <c r="Y13" s="3148"/>
      <c r="Z13" s="3016">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13"/>
      <c r="Q14" s="3015">
        <f t="shared" si="6"/>
        <v>111</v>
      </c>
      <c r="R14" s="771" t="s">
        <v>17</v>
      </c>
      <c r="S14" s="772">
        <f t="shared" si="0"/>
        <v>100</v>
      </c>
      <c r="T14" s="771" t="s">
        <v>17</v>
      </c>
      <c r="U14" s="772">
        <f t="shared" si="1"/>
        <v>100</v>
      </c>
      <c r="V14" s="771" t="s">
        <v>17</v>
      </c>
      <c r="W14" s="772">
        <f t="shared" si="2"/>
        <v>100</v>
      </c>
      <c r="X14" s="773"/>
      <c r="Y14" s="3148"/>
      <c r="Z14" s="3016">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19" t="s">
        <v>2560</v>
      </c>
      <c r="Q15" s="3018" t="str">
        <f t="shared" si="6"/>
        <v>商业繁华度</v>
      </c>
      <c r="R15" s="775" t="s">
        <v>17</v>
      </c>
      <c r="S15" s="776">
        <f t="shared" si="0"/>
        <v>100</v>
      </c>
      <c r="T15" s="775" t="s">
        <v>17</v>
      </c>
      <c r="U15" s="776">
        <f t="shared" si="1"/>
        <v>100</v>
      </c>
      <c r="V15" s="775" t="s">
        <v>17</v>
      </c>
      <c r="W15" s="776">
        <f t="shared" si="2"/>
        <v>100</v>
      </c>
      <c r="X15" s="3022"/>
      <c r="Y15" s="3321" t="s">
        <v>2560</v>
      </c>
      <c r="Z15" s="3020" t="str">
        <f t="shared" si="7"/>
        <v>商业繁华度</v>
      </c>
      <c r="AA15" s="3019">
        <f t="shared" si="3"/>
        <v>1</v>
      </c>
      <c r="AB15" s="3019">
        <f t="shared" si="4"/>
        <v>1</v>
      </c>
      <c r="AC15" s="3019">
        <f t="shared" si="5"/>
        <v>1</v>
      </c>
    </row>
    <row r="16" spans="1:29" ht="15">
      <c r="A16" s="429"/>
      <c r="B16" s="447"/>
      <c r="C16" s="448" t="s">
        <v>3281</v>
      </c>
      <c r="D16" s="449"/>
      <c r="E16" s="448" t="s">
        <v>3281</v>
      </c>
      <c r="F16" s="450"/>
      <c r="G16" s="448" t="s">
        <v>3281</v>
      </c>
      <c r="H16" s="451"/>
      <c r="I16" s="448" t="s">
        <v>3281</v>
      </c>
      <c r="J16" s="449"/>
      <c r="K16" s="616"/>
      <c r="L16" s="1144"/>
      <c r="M16" s="1135"/>
      <c r="N16" s="1135"/>
      <c r="O16" s="1135"/>
      <c r="P16" s="3320"/>
      <c r="Q16" s="3018"/>
      <c r="R16" s="775"/>
      <c r="S16" s="776"/>
      <c r="T16" s="775"/>
      <c r="U16" s="776"/>
      <c r="V16" s="775"/>
      <c r="W16" s="776"/>
      <c r="X16" s="3022"/>
      <c r="Y16" s="3322"/>
      <c r="Z16" s="3020"/>
      <c r="AA16" s="3019">
        <v>1</v>
      </c>
      <c r="AB16" s="3019">
        <v>1</v>
      </c>
      <c r="AC16" s="3019">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20"/>
      <c r="Q17" s="3018" t="str">
        <f>B17</f>
        <v>交通便捷度</v>
      </c>
      <c r="R17" s="775" t="s">
        <v>17</v>
      </c>
      <c r="S17" s="776">
        <f>F17</f>
        <v>100</v>
      </c>
      <c r="T17" s="775" t="s">
        <v>17</v>
      </c>
      <c r="U17" s="776">
        <f>H17</f>
        <v>100</v>
      </c>
      <c r="V17" s="775" t="s">
        <v>17</v>
      </c>
      <c r="W17" s="776">
        <f>J17</f>
        <v>100</v>
      </c>
      <c r="X17" s="3022"/>
      <c r="Y17" s="3322"/>
      <c r="Z17" s="3020" t="str">
        <f>Q17</f>
        <v>交通便捷度</v>
      </c>
      <c r="AA17" s="3019">
        <f t="shared" si="3"/>
        <v>1</v>
      </c>
      <c r="AB17" s="3019">
        <f t="shared" si="4"/>
        <v>1</v>
      </c>
      <c r="AC17" s="3019">
        <f t="shared" si="5"/>
        <v>1</v>
      </c>
    </row>
    <row r="18" spans="1:29" ht="15">
      <c r="A18" s="429"/>
      <c r="B18" s="457"/>
      <c r="C18" s="2611" t="s">
        <v>3282</v>
      </c>
      <c r="D18" s="451"/>
      <c r="E18" s="2613" t="s">
        <v>3282</v>
      </c>
      <c r="F18" s="454"/>
      <c r="G18" s="2612" t="s">
        <v>3282</v>
      </c>
      <c r="H18" s="449"/>
      <c r="I18" s="2613" t="s">
        <v>3282</v>
      </c>
      <c r="J18" s="449"/>
      <c r="K18" s="616"/>
      <c r="L18" s="1144"/>
      <c r="M18" s="1135"/>
      <c r="N18" s="1135"/>
      <c r="O18" s="1135"/>
      <c r="P18" s="3320"/>
      <c r="Q18" s="3018"/>
      <c r="R18" s="775"/>
      <c r="S18" s="776"/>
      <c r="T18" s="775"/>
      <c r="U18" s="776"/>
      <c r="V18" s="775"/>
      <c r="W18" s="776"/>
      <c r="X18" s="3022"/>
      <c r="Y18" s="3322"/>
      <c r="Z18" s="3020"/>
      <c r="AA18" s="3019">
        <v>1</v>
      </c>
      <c r="AB18" s="3019">
        <v>1</v>
      </c>
      <c r="AC18" s="3019">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20"/>
      <c r="Q19" s="3018" t="str">
        <f>B19</f>
        <v>公共配套设施</v>
      </c>
      <c r="R19" s="775" t="s">
        <v>17</v>
      </c>
      <c r="S19" s="776">
        <f>F19</f>
        <v>100</v>
      </c>
      <c r="T19" s="775" t="s">
        <v>17</v>
      </c>
      <c r="U19" s="776">
        <f>H19</f>
        <v>100</v>
      </c>
      <c r="V19" s="775" t="s">
        <v>17</v>
      </c>
      <c r="W19" s="776">
        <f>J19</f>
        <v>100</v>
      </c>
      <c r="X19" s="3022"/>
      <c r="Y19" s="3322"/>
      <c r="Z19" s="3020" t="str">
        <f>Q19</f>
        <v>公共配套设施</v>
      </c>
      <c r="AA19" s="3019">
        <f t="shared" si="3"/>
        <v>1</v>
      </c>
      <c r="AB19" s="3019">
        <f t="shared" si="4"/>
        <v>1</v>
      </c>
      <c r="AC19" s="3019">
        <f t="shared" si="5"/>
        <v>1</v>
      </c>
    </row>
    <row r="20" spans="1:29" ht="15">
      <c r="A20" s="429"/>
      <c r="B20" s="457"/>
      <c r="C20" s="448" t="s">
        <v>3282</v>
      </c>
      <c r="D20" s="449"/>
      <c r="E20" s="2608" t="s">
        <v>3282</v>
      </c>
      <c r="F20" s="450"/>
      <c r="G20" s="2607" t="s">
        <v>3282</v>
      </c>
      <c r="H20" s="449"/>
      <c r="I20" s="2608" t="s">
        <v>3282</v>
      </c>
      <c r="J20" s="449"/>
      <c r="K20" s="616"/>
      <c r="L20" s="1144"/>
      <c r="M20" s="1135"/>
      <c r="N20" s="1135"/>
      <c r="O20" s="1135"/>
      <c r="P20" s="3320"/>
      <c r="Q20" s="3018"/>
      <c r="R20" s="775"/>
      <c r="S20" s="776"/>
      <c r="T20" s="775"/>
      <c r="U20" s="776"/>
      <c r="V20" s="775"/>
      <c r="W20" s="776"/>
      <c r="X20" s="3022"/>
      <c r="Y20" s="3322"/>
      <c r="Z20" s="3020"/>
      <c r="AA20" s="3019">
        <v>1</v>
      </c>
      <c r="AB20" s="3019">
        <v>1</v>
      </c>
      <c r="AC20" s="3019">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20"/>
      <c r="Q21" s="3018" t="str">
        <f>B21</f>
        <v>基础设施水平</v>
      </c>
      <c r="R21" s="775" t="s">
        <v>17</v>
      </c>
      <c r="S21" s="776">
        <f>F21</f>
        <v>100</v>
      </c>
      <c r="T21" s="775" t="s">
        <v>17</v>
      </c>
      <c r="U21" s="776">
        <f>H21</f>
        <v>100</v>
      </c>
      <c r="V21" s="775" t="s">
        <v>17</v>
      </c>
      <c r="W21" s="776">
        <f>J21</f>
        <v>100</v>
      </c>
      <c r="X21" s="3022"/>
      <c r="Y21" s="3322"/>
      <c r="Z21" s="3020" t="str">
        <f>Q21</f>
        <v>基础设施水平</v>
      </c>
      <c r="AA21" s="3019">
        <f t="shared" ref="AA21" si="8">D21/F21</f>
        <v>1</v>
      </c>
      <c r="AB21" s="3019">
        <f t="shared" ref="AB21" si="9">D21/H21</f>
        <v>1</v>
      </c>
      <c r="AC21" s="3019">
        <f t="shared" ref="AC21" si="10">D21/J21</f>
        <v>1</v>
      </c>
    </row>
    <row r="22" spans="1:29" ht="15">
      <c r="A22" s="429"/>
      <c r="B22" s="1388"/>
      <c r="C22" s="2611" t="s">
        <v>3265</v>
      </c>
      <c r="D22" s="449"/>
      <c r="E22" s="448" t="s">
        <v>3265</v>
      </c>
      <c r="F22" s="450"/>
      <c r="G22" s="448" t="s">
        <v>3265</v>
      </c>
      <c r="H22" s="449"/>
      <c r="I22" s="448" t="s">
        <v>3265</v>
      </c>
      <c r="J22" s="449"/>
      <c r="K22" s="1387"/>
      <c r="L22" s="1144"/>
      <c r="M22" s="1135"/>
      <c r="N22" s="1135"/>
      <c r="O22" s="1135"/>
      <c r="P22" s="3320"/>
      <c r="Q22" s="3018"/>
      <c r="R22" s="775"/>
      <c r="S22" s="776"/>
      <c r="T22" s="775"/>
      <c r="U22" s="776"/>
      <c r="V22" s="775"/>
      <c r="W22" s="776"/>
      <c r="X22" s="3022"/>
      <c r="Y22" s="3322"/>
      <c r="Z22" s="3020"/>
      <c r="AA22" s="3019">
        <v>1</v>
      </c>
      <c r="AB22" s="3019">
        <v>1</v>
      </c>
      <c r="AC22" s="3019">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20"/>
      <c r="Q23" s="3018" t="str">
        <f>B23</f>
        <v>自然及人文环境</v>
      </c>
      <c r="R23" s="775" t="s">
        <v>17</v>
      </c>
      <c r="S23" s="776">
        <f>F23</f>
        <v>100</v>
      </c>
      <c r="T23" s="775" t="s">
        <v>17</v>
      </c>
      <c r="U23" s="776">
        <f>H23</f>
        <v>100</v>
      </c>
      <c r="V23" s="775" t="s">
        <v>17</v>
      </c>
      <c r="W23" s="776">
        <f>J23</f>
        <v>100</v>
      </c>
      <c r="X23" s="3022"/>
      <c r="Y23" s="3322"/>
      <c r="Z23" s="3020" t="str">
        <f>Q23</f>
        <v>自然及人文环境</v>
      </c>
      <c r="AA23" s="3019">
        <f t="shared" si="3"/>
        <v>1</v>
      </c>
      <c r="AB23" s="3019">
        <f t="shared" si="4"/>
        <v>1</v>
      </c>
      <c r="AC23" s="3019">
        <f t="shared" si="5"/>
        <v>1</v>
      </c>
    </row>
    <row r="24" spans="1:29" ht="15">
      <c r="A24" s="429"/>
      <c r="B24" s="457"/>
      <c r="C24" s="448" t="s">
        <v>3283</v>
      </c>
      <c r="D24" s="449"/>
      <c r="E24" s="2608" t="s">
        <v>3283</v>
      </c>
      <c r="F24" s="450"/>
      <c r="G24" s="2607" t="s">
        <v>3283</v>
      </c>
      <c r="H24" s="449"/>
      <c r="I24" s="2608" t="s">
        <v>3283</v>
      </c>
      <c r="J24" s="449"/>
      <c r="K24" s="616"/>
      <c r="L24" s="1144"/>
      <c r="M24" s="1135"/>
      <c r="N24" s="1135"/>
      <c r="O24" s="1135"/>
      <c r="P24" s="3320"/>
      <c r="Q24" s="3018"/>
      <c r="R24" s="775"/>
      <c r="S24" s="776"/>
      <c r="T24" s="775"/>
      <c r="U24" s="776"/>
      <c r="V24" s="775"/>
      <c r="W24" s="776"/>
      <c r="X24" s="3022"/>
      <c r="Y24" s="3322"/>
      <c r="Z24" s="3020"/>
      <c r="AA24" s="3019">
        <v>1</v>
      </c>
      <c r="AB24" s="3019">
        <v>1</v>
      </c>
      <c r="AC24" s="3019">
        <v>1</v>
      </c>
    </row>
    <row r="25" spans="1:29" ht="15">
      <c r="A25" s="429"/>
      <c r="B25" s="3017" t="s">
        <v>2656</v>
      </c>
      <c r="C25" s="617" t="s">
        <v>3360</v>
      </c>
      <c r="D25" s="436">
        <v>100</v>
      </c>
      <c r="E25" s="617" t="s">
        <v>3360</v>
      </c>
      <c r="F25" s="462">
        <f>SUMIF(86:86,E25,87:87)-SUMIF(86:86,C25,87:87)+100</f>
        <v>100</v>
      </c>
      <c r="G25" s="617" t="s">
        <v>3364</v>
      </c>
      <c r="H25" s="436">
        <f>SUMIF(86:86,G25,87:87)-SUMIF(86:86,C25,87:87)+100</f>
        <v>96</v>
      </c>
      <c r="I25" s="617" t="s">
        <v>3364</v>
      </c>
      <c r="J25" s="436">
        <f>SUMIF(86:86,I25,87:87)-SUMIF(86:86,C25,87:87)+100</f>
        <v>96</v>
      </c>
      <c r="K25" s="613">
        <v>2</v>
      </c>
      <c r="L25" s="1144"/>
      <c r="M25" s="1135"/>
      <c r="N25" s="1135"/>
      <c r="O25" s="1135"/>
      <c r="P25" s="3320"/>
      <c r="Q25" s="3018" t="str">
        <f t="shared" ref="Q25:Q46" si="11">B25</f>
        <v>临街状况</v>
      </c>
      <c r="R25" s="775" t="s">
        <v>17</v>
      </c>
      <c r="S25" s="776">
        <f>F25</f>
        <v>100</v>
      </c>
      <c r="T25" s="775" t="s">
        <v>17</v>
      </c>
      <c r="U25" s="776">
        <f>H25</f>
        <v>96</v>
      </c>
      <c r="V25" s="775" t="s">
        <v>17</v>
      </c>
      <c r="W25" s="776">
        <f>J25</f>
        <v>96</v>
      </c>
      <c r="X25" s="3022"/>
      <c r="Y25" s="3322"/>
      <c r="Z25" s="3020" t="str">
        <f>Q25</f>
        <v>临街状况</v>
      </c>
      <c r="AA25" s="3019">
        <f t="shared" si="3"/>
        <v>1</v>
      </c>
      <c r="AB25" s="3019">
        <f t="shared" si="4"/>
        <v>1.0416666666666667</v>
      </c>
      <c r="AC25" s="3019">
        <f t="shared" si="5"/>
        <v>1.0416666666666667</v>
      </c>
    </row>
    <row r="26" spans="1:29" ht="15">
      <c r="A26" s="429"/>
      <c r="B26" s="1390" t="s">
        <v>2657</v>
      </c>
      <c r="C26" s="3009" t="s">
        <v>3372</v>
      </c>
      <c r="D26" s="436">
        <v>100</v>
      </c>
      <c r="E26" s="3009" t="s">
        <v>3372</v>
      </c>
      <c r="F26" s="462">
        <f>SUMIF(88:88,E26,89:89)-SUMIF(88:88,C26,89:89)+100</f>
        <v>100</v>
      </c>
      <c r="G26" s="3009" t="s">
        <v>3369</v>
      </c>
      <c r="H26" s="436">
        <f>SUMIF(88:88,G26,89:89)-SUMIF(88:88,C26,89:89)+100</f>
        <v>98</v>
      </c>
      <c r="I26" s="3009" t="s">
        <v>3413</v>
      </c>
      <c r="J26" s="436">
        <f>SUMIF(88:88,I26,89:89)-SUMIF(88:88,C26,89:89)+100</f>
        <v>98</v>
      </c>
      <c r="K26" s="614"/>
      <c r="L26" s="1144"/>
      <c r="M26" s="1135"/>
      <c r="N26" s="1135"/>
      <c r="O26" s="1135"/>
      <c r="P26" s="3320"/>
      <c r="Q26" s="3018" t="str">
        <f t="shared" si="11"/>
        <v>平面位置/可视性</v>
      </c>
      <c r="R26" s="775" t="s">
        <v>17</v>
      </c>
      <c r="S26" s="776">
        <f>F26</f>
        <v>100</v>
      </c>
      <c r="T26" s="775" t="s">
        <v>17</v>
      </c>
      <c r="U26" s="776">
        <f>H26</f>
        <v>98</v>
      </c>
      <c r="V26" s="775" t="s">
        <v>17</v>
      </c>
      <c r="W26" s="776">
        <f>J26</f>
        <v>98</v>
      </c>
      <c r="X26" s="3022"/>
      <c r="Y26" s="3322"/>
      <c r="Z26" s="3020" t="str">
        <f>Q26</f>
        <v>平面位置/可视性</v>
      </c>
      <c r="AA26" s="3019">
        <f t="shared" si="3"/>
        <v>1</v>
      </c>
      <c r="AB26" s="3019">
        <f t="shared" si="4"/>
        <v>1.0204081632653061</v>
      </c>
      <c r="AC26" s="3019">
        <f t="shared" si="5"/>
        <v>1.0204081632653061</v>
      </c>
    </row>
    <row r="27" spans="1:29" s="117" customFormat="1" ht="15">
      <c r="A27" s="432"/>
      <c r="B27" s="452" t="s">
        <v>2658</v>
      </c>
      <c r="C27" s="2668" t="s">
        <v>3281</v>
      </c>
      <c r="D27" s="463">
        <v>100</v>
      </c>
      <c r="E27" s="2668" t="s">
        <v>3283</v>
      </c>
      <c r="F27" s="465">
        <f>SUMIF(90:90,E27,91:91)-SUMIF(90:90,C27,91:91)+100</f>
        <v>98</v>
      </c>
      <c r="G27" s="2668" t="s">
        <v>3283</v>
      </c>
      <c r="H27" s="463">
        <f>SUMIF(90:90,G27,91:91)-SUMIF(90:90,C27,91:91)+100</f>
        <v>98</v>
      </c>
      <c r="I27" s="2668" t="s">
        <v>3283</v>
      </c>
      <c r="J27" s="463">
        <f>SUMIF(90:90,I27,91:91)-SUMIF(90:90,C27,91:91)+100</f>
        <v>98</v>
      </c>
      <c r="K27" s="613">
        <v>2</v>
      </c>
      <c r="L27" s="1136"/>
      <c r="M27" s="1137"/>
      <c r="N27" s="1137"/>
      <c r="O27" s="1137"/>
      <c r="P27" s="3320"/>
      <c r="Q27" s="3015" t="str">
        <f t="shared" si="11"/>
        <v>人流量</v>
      </c>
      <c r="R27" s="771" t="s">
        <v>17</v>
      </c>
      <c r="S27" s="772">
        <f>F27</f>
        <v>98</v>
      </c>
      <c r="T27" s="771" t="s">
        <v>17</v>
      </c>
      <c r="U27" s="772">
        <f>H27</f>
        <v>98</v>
      </c>
      <c r="V27" s="771" t="s">
        <v>17</v>
      </c>
      <c r="W27" s="772">
        <f>J27</f>
        <v>98</v>
      </c>
      <c r="X27" s="773"/>
      <c r="Y27" s="3322"/>
      <c r="Z27" s="3016" t="str">
        <f>Q27</f>
        <v>人流量</v>
      </c>
      <c r="AA27" s="3019">
        <f>D27/F27</f>
        <v>1.0204081632653061</v>
      </c>
      <c r="AB27" s="3019">
        <f>D27/H27</f>
        <v>1.0204081632653061</v>
      </c>
      <c r="AC27" s="3019">
        <f>D27/J27</f>
        <v>1.0204081632653061</v>
      </c>
    </row>
    <row r="28" spans="1:29" ht="15">
      <c r="A28" s="429"/>
      <c r="B28" s="3017" t="s">
        <v>2659</v>
      </c>
      <c r="C28" s="617" t="s">
        <v>3415</v>
      </c>
      <c r="D28" s="436">
        <v>100</v>
      </c>
      <c r="E28" s="617" t="s">
        <v>3415</v>
      </c>
      <c r="F28" s="462">
        <f>SUMIF(92:92,E28,93:93)-SUMIF(92:92,C28,93:93)+100</f>
        <v>100</v>
      </c>
      <c r="G28" s="617" t="s">
        <v>3415</v>
      </c>
      <c r="H28" s="436">
        <f>SUMIF(92:92,G28,93:93)-SUMIF(92:92,C28,93:93)+100</f>
        <v>100</v>
      </c>
      <c r="I28" s="617" t="s">
        <v>3415</v>
      </c>
      <c r="J28" s="436">
        <f>SUMIF(92:92,I28,93:93)-SUMIF(92:92,C28,93:93)+100</f>
        <v>100</v>
      </c>
      <c r="K28" s="614"/>
      <c r="L28" s="1144"/>
      <c r="M28" s="1135"/>
      <c r="N28" s="1135"/>
      <c r="O28" s="1135"/>
      <c r="P28" s="3320"/>
      <c r="Q28" s="3018" t="str">
        <f t="shared" si="11"/>
        <v>楼层</v>
      </c>
      <c r="R28" s="775" t="s">
        <v>17</v>
      </c>
      <c r="S28" s="776">
        <f t="shared" ref="S28:S46" si="12">F28</f>
        <v>100</v>
      </c>
      <c r="T28" s="775" t="s">
        <v>17</v>
      </c>
      <c r="U28" s="776">
        <f t="shared" ref="U28:U46" si="13">H28</f>
        <v>100</v>
      </c>
      <c r="V28" s="775" t="s">
        <v>17</v>
      </c>
      <c r="W28" s="776">
        <f t="shared" ref="W28:W46" si="14">J28</f>
        <v>100</v>
      </c>
      <c r="X28" s="3022"/>
      <c r="Y28" s="3322"/>
      <c r="Z28" s="3020" t="str">
        <f t="shared" ref="Z28:Z46" si="15">Q28</f>
        <v>楼层</v>
      </c>
      <c r="AA28" s="3019">
        <f t="shared" si="3"/>
        <v>1</v>
      </c>
      <c r="AB28" s="3019">
        <f t="shared" si="4"/>
        <v>1</v>
      </c>
      <c r="AC28" s="3019">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20"/>
      <c r="Q29" s="3018">
        <f t="shared" si="11"/>
        <v>111</v>
      </c>
      <c r="R29" s="775" t="s">
        <v>17</v>
      </c>
      <c r="S29" s="776">
        <f t="shared" si="12"/>
        <v>100</v>
      </c>
      <c r="T29" s="775" t="s">
        <v>17</v>
      </c>
      <c r="U29" s="776">
        <f t="shared" si="13"/>
        <v>100</v>
      </c>
      <c r="V29" s="775" t="s">
        <v>17</v>
      </c>
      <c r="W29" s="776">
        <f t="shared" si="14"/>
        <v>100</v>
      </c>
      <c r="X29" s="3022"/>
      <c r="Y29" s="3322"/>
      <c r="Z29" s="3020">
        <f t="shared" si="15"/>
        <v>111</v>
      </c>
      <c r="AA29" s="3019">
        <f t="shared" si="3"/>
        <v>1</v>
      </c>
      <c r="AB29" s="3019">
        <f t="shared" si="4"/>
        <v>1</v>
      </c>
      <c r="AC29" s="3019">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20"/>
      <c r="Q30" s="3018">
        <f t="shared" si="11"/>
        <v>111</v>
      </c>
      <c r="R30" s="775" t="s">
        <v>17</v>
      </c>
      <c r="S30" s="776">
        <f t="shared" si="12"/>
        <v>100</v>
      </c>
      <c r="T30" s="775" t="s">
        <v>17</v>
      </c>
      <c r="U30" s="776">
        <f t="shared" si="13"/>
        <v>100</v>
      </c>
      <c r="V30" s="775" t="s">
        <v>17</v>
      </c>
      <c r="W30" s="776">
        <f t="shared" si="14"/>
        <v>100</v>
      </c>
      <c r="X30" s="3022"/>
      <c r="Y30" s="3322"/>
      <c r="Z30" s="3020">
        <f t="shared" si="15"/>
        <v>111</v>
      </c>
      <c r="AA30" s="3019">
        <f t="shared" si="3"/>
        <v>1</v>
      </c>
      <c r="AB30" s="3019">
        <f t="shared" si="4"/>
        <v>1</v>
      </c>
      <c r="AC30" s="3019">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20"/>
      <c r="Q31" s="3018">
        <f t="shared" si="11"/>
        <v>111</v>
      </c>
      <c r="R31" s="775" t="s">
        <v>17</v>
      </c>
      <c r="S31" s="776">
        <f t="shared" si="12"/>
        <v>100</v>
      </c>
      <c r="T31" s="775" t="s">
        <v>17</v>
      </c>
      <c r="U31" s="776">
        <f t="shared" si="13"/>
        <v>100</v>
      </c>
      <c r="V31" s="775" t="s">
        <v>17</v>
      </c>
      <c r="W31" s="776">
        <f t="shared" si="14"/>
        <v>100</v>
      </c>
      <c r="X31" s="3022"/>
      <c r="Y31" s="3322"/>
      <c r="Z31" s="3020">
        <f t="shared" si="15"/>
        <v>111</v>
      </c>
      <c r="AA31" s="3019">
        <f t="shared" si="3"/>
        <v>1</v>
      </c>
      <c r="AB31" s="3019">
        <f t="shared" si="4"/>
        <v>1</v>
      </c>
      <c r="AC31" s="3019">
        <f t="shared" si="5"/>
        <v>1</v>
      </c>
    </row>
    <row r="32" spans="1:29" ht="15">
      <c r="A32" s="441" t="s">
        <v>2563</v>
      </c>
      <c r="B32" s="71" t="s">
        <v>2660</v>
      </c>
      <c r="C32" s="2620" t="s">
        <v>3382</v>
      </c>
      <c r="D32" s="468">
        <v>100</v>
      </c>
      <c r="E32" s="2620" t="s">
        <v>3382</v>
      </c>
      <c r="F32" s="462">
        <f>SUMIF(100:100,E32,101:101)-SUMIF(100:100,C32,101:101)+100</f>
        <v>100</v>
      </c>
      <c r="G32" s="3084" t="s">
        <v>3381</v>
      </c>
      <c r="H32" s="3086">
        <f>SUMIF(100:100,G32,101:101)-SUMIF(100:100,C32,101:101)+100</f>
        <v>95</v>
      </c>
      <c r="I32" s="3084" t="s">
        <v>3381</v>
      </c>
      <c r="J32" s="3087">
        <f>SUMIF(100:100,I32,101:101)-SUMIF(100:100,C32,101:101)+100</f>
        <v>95</v>
      </c>
      <c r="K32" s="613">
        <v>5</v>
      </c>
      <c r="L32" s="1144"/>
      <c r="M32" s="1135"/>
      <c r="N32" s="1135"/>
      <c r="O32" s="1135"/>
      <c r="P32" s="3323" t="s">
        <v>2565</v>
      </c>
      <c r="Q32" s="3018" t="str">
        <f t="shared" si="11"/>
        <v>商业类型</v>
      </c>
      <c r="R32" s="775" t="s">
        <v>17</v>
      </c>
      <c r="S32" s="776">
        <f t="shared" si="12"/>
        <v>100</v>
      </c>
      <c r="T32" s="775" t="s">
        <v>17</v>
      </c>
      <c r="U32" s="776">
        <f t="shared" si="13"/>
        <v>95</v>
      </c>
      <c r="V32" s="775" t="s">
        <v>17</v>
      </c>
      <c r="W32" s="776">
        <f t="shared" si="14"/>
        <v>95</v>
      </c>
      <c r="X32" s="3022"/>
      <c r="Y32" s="3326" t="s">
        <v>2565</v>
      </c>
      <c r="Z32" s="3020" t="str">
        <f t="shared" si="15"/>
        <v>商业类型</v>
      </c>
      <c r="AA32" s="3019">
        <f t="shared" si="3"/>
        <v>1</v>
      </c>
      <c r="AB32" s="3019">
        <f t="shared" si="4"/>
        <v>1.0526315789473684</v>
      </c>
      <c r="AC32" s="3019">
        <f t="shared" si="5"/>
        <v>1.0526315789473684</v>
      </c>
    </row>
    <row r="33" spans="1:29" s="472" customFormat="1" ht="15">
      <c r="A33" s="469"/>
      <c r="B33" s="3017" t="s">
        <v>2566</v>
      </c>
      <c r="C33" s="3071">
        <f>面积!C39</f>
        <v>1377.98</v>
      </c>
      <c r="D33" s="136">
        <v>100</v>
      </c>
      <c r="E33" s="431">
        <v>550</v>
      </c>
      <c r="F33" s="426">
        <f>LOOKUP(E33,103:103,104:104)-LOOKUP(C33,103:103,104:104)+100</f>
        <v>106</v>
      </c>
      <c r="G33" s="430">
        <v>130</v>
      </c>
      <c r="H33" s="136">
        <f>LOOKUP(G33,103:103,104:104)-LOOKUP(C33,103:103,104:104)+100</f>
        <v>108</v>
      </c>
      <c r="I33" s="430">
        <v>70</v>
      </c>
      <c r="J33" s="136">
        <f>LOOKUP(I33,103:103,104:104)-LOOKUP(C33,103:103,104:104)+100</f>
        <v>108</v>
      </c>
      <c r="K33" s="614"/>
      <c r="L33" s="1142"/>
      <c r="M33" s="1145"/>
      <c r="N33" s="1145"/>
      <c r="O33" s="1145"/>
      <c r="P33" s="3324"/>
      <c r="Q33" s="777" t="str">
        <f t="shared" si="11"/>
        <v>项目建筑规模</v>
      </c>
      <c r="R33" s="778" t="s">
        <v>17</v>
      </c>
      <c r="S33" s="779">
        <f t="shared" si="12"/>
        <v>106</v>
      </c>
      <c r="T33" s="778" t="s">
        <v>17</v>
      </c>
      <c r="U33" s="779">
        <f t="shared" si="13"/>
        <v>108</v>
      </c>
      <c r="V33" s="778" t="s">
        <v>17</v>
      </c>
      <c r="W33" s="779">
        <f t="shared" si="14"/>
        <v>108</v>
      </c>
      <c r="X33" s="780"/>
      <c r="Y33" s="3326"/>
      <c r="Z33" s="781" t="str">
        <f t="shared" si="15"/>
        <v>项目建筑规模</v>
      </c>
      <c r="AA33" s="3019">
        <f t="shared" si="3"/>
        <v>0.94339622641509435</v>
      </c>
      <c r="AB33" s="3019">
        <f t="shared" si="4"/>
        <v>0.92592592592592593</v>
      </c>
      <c r="AC33" s="3019">
        <f t="shared" si="5"/>
        <v>0.92592592592592593</v>
      </c>
    </row>
    <row r="34" spans="1:29" ht="15">
      <c r="A34" s="473"/>
      <c r="B34" s="3017"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24"/>
      <c r="Q34" s="3018" t="str">
        <f t="shared" si="11"/>
        <v>建筑结构</v>
      </c>
      <c r="R34" s="775" t="s">
        <v>17</v>
      </c>
      <c r="S34" s="776">
        <f t="shared" si="12"/>
        <v>100</v>
      </c>
      <c r="T34" s="775" t="s">
        <v>17</v>
      </c>
      <c r="U34" s="776">
        <f t="shared" si="13"/>
        <v>100</v>
      </c>
      <c r="V34" s="775" t="s">
        <v>17</v>
      </c>
      <c r="W34" s="776">
        <f t="shared" si="14"/>
        <v>100</v>
      </c>
      <c r="X34" s="3022"/>
      <c r="Y34" s="3326"/>
      <c r="Z34" s="3020" t="str">
        <f t="shared" si="15"/>
        <v>建筑结构</v>
      </c>
      <c r="AA34" s="3019">
        <f t="shared" si="3"/>
        <v>1</v>
      </c>
      <c r="AB34" s="3019">
        <f t="shared" si="4"/>
        <v>1</v>
      </c>
      <c r="AC34" s="3019">
        <f t="shared" si="5"/>
        <v>1</v>
      </c>
    </row>
    <row r="35" spans="1:29" ht="15">
      <c r="A35" s="473"/>
      <c r="B35" s="3017" t="s">
        <v>2661</v>
      </c>
      <c r="C35" s="2616" t="s">
        <v>3250</v>
      </c>
      <c r="D35" s="436">
        <v>100</v>
      </c>
      <c r="E35" s="2616" t="s">
        <v>3250</v>
      </c>
      <c r="F35" s="462">
        <f>SUMIF(107:107,E35,108:108)-SUMIF(107:107,C35,108:108)+100</f>
        <v>100</v>
      </c>
      <c r="G35" s="2616" t="s">
        <v>3250</v>
      </c>
      <c r="H35" s="436">
        <f>SUMIF(107:107,G35,108:108)-SUMIF(107:107,C35,108:108)+100</f>
        <v>100</v>
      </c>
      <c r="I35" s="2616" t="s">
        <v>3250</v>
      </c>
      <c r="J35" s="436">
        <f>SUMIF(107:107,I35,108:108)-SUMIF(107:107,C35,108:108)+100</f>
        <v>100</v>
      </c>
      <c r="K35" s="613">
        <v>2</v>
      </c>
      <c r="L35" s="1144"/>
      <c r="M35" s="1135"/>
      <c r="N35" s="1135"/>
      <c r="O35" s="1135"/>
      <c r="P35" s="3324"/>
      <c r="Q35" s="3018" t="str">
        <f t="shared" si="11"/>
        <v>公共部分装修</v>
      </c>
      <c r="R35" s="775" t="s">
        <v>17</v>
      </c>
      <c r="S35" s="776">
        <f t="shared" si="12"/>
        <v>100</v>
      </c>
      <c r="T35" s="775" t="s">
        <v>17</v>
      </c>
      <c r="U35" s="776">
        <f t="shared" si="13"/>
        <v>100</v>
      </c>
      <c r="V35" s="775" t="s">
        <v>17</v>
      </c>
      <c r="W35" s="776">
        <f t="shared" si="14"/>
        <v>100</v>
      </c>
      <c r="X35" s="3022"/>
      <c r="Y35" s="3326"/>
      <c r="Z35" s="3020" t="str">
        <f t="shared" si="15"/>
        <v>公共部分装修</v>
      </c>
      <c r="AA35" s="3019">
        <f t="shared" si="3"/>
        <v>1</v>
      </c>
      <c r="AB35" s="3019">
        <f t="shared" si="4"/>
        <v>1</v>
      </c>
      <c r="AC35" s="3019">
        <f t="shared" si="5"/>
        <v>1</v>
      </c>
    </row>
    <row r="36" spans="1:29" ht="15">
      <c r="A36" s="473"/>
      <c r="B36" s="3017"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24"/>
      <c r="Q36" s="3018" t="str">
        <f t="shared" si="11"/>
        <v>成新度</v>
      </c>
      <c r="R36" s="775" t="s">
        <v>17</v>
      </c>
      <c r="S36" s="776">
        <f t="shared" si="12"/>
        <v>100</v>
      </c>
      <c r="T36" s="775" t="s">
        <v>17</v>
      </c>
      <c r="U36" s="776">
        <f t="shared" si="13"/>
        <v>100</v>
      </c>
      <c r="V36" s="775" t="s">
        <v>17</v>
      </c>
      <c r="W36" s="776">
        <f t="shared" si="14"/>
        <v>100</v>
      </c>
      <c r="X36" s="3022"/>
      <c r="Y36" s="3326"/>
      <c r="Z36" s="3020" t="str">
        <f t="shared" si="15"/>
        <v>成新度</v>
      </c>
      <c r="AA36" s="3019">
        <f t="shared" si="3"/>
        <v>1</v>
      </c>
      <c r="AB36" s="3019">
        <f t="shared" si="4"/>
        <v>1</v>
      </c>
      <c r="AC36" s="3019">
        <f t="shared" si="5"/>
        <v>1</v>
      </c>
    </row>
    <row r="37" spans="1:29" s="117" customFormat="1" ht="15">
      <c r="A37" s="474"/>
      <c r="B37" s="3017" t="s">
        <v>2663</v>
      </c>
      <c r="C37" s="2616" t="s">
        <v>3265</v>
      </c>
      <c r="D37" s="136">
        <v>100</v>
      </c>
      <c r="E37" s="2616" t="s">
        <v>3265</v>
      </c>
      <c r="F37" s="462">
        <f>SUMIF(112:112,E37,113:113)-SUMIF(112:112,C37,113:113)+100</f>
        <v>100</v>
      </c>
      <c r="G37" s="2616" t="s">
        <v>3265</v>
      </c>
      <c r="H37" s="436">
        <f>SUMIF(112:112,G37,113:113)-SUMIF(112:112,C37,113:113)+100</f>
        <v>100</v>
      </c>
      <c r="I37" s="2616" t="s">
        <v>3265</v>
      </c>
      <c r="J37" s="436">
        <f>SUMIF(112:112,I37,113:113)-SUMIF(112:112,C37,113:113)+100</f>
        <v>100</v>
      </c>
      <c r="K37" s="613">
        <v>2</v>
      </c>
      <c r="L37" s="1136"/>
      <c r="M37" s="1137"/>
      <c r="N37" s="1137"/>
      <c r="O37" s="1137"/>
      <c r="P37" s="3324"/>
      <c r="Q37" s="3015" t="str">
        <f t="shared" si="11"/>
        <v>市政基础设施</v>
      </c>
      <c r="R37" s="771" t="s">
        <v>17</v>
      </c>
      <c r="S37" s="772">
        <f t="shared" si="12"/>
        <v>100</v>
      </c>
      <c r="T37" s="771" t="s">
        <v>17</v>
      </c>
      <c r="U37" s="772">
        <f t="shared" si="13"/>
        <v>100</v>
      </c>
      <c r="V37" s="771" t="s">
        <v>17</v>
      </c>
      <c r="W37" s="772">
        <f t="shared" si="14"/>
        <v>100</v>
      </c>
      <c r="X37" s="773"/>
      <c r="Y37" s="3326"/>
      <c r="Z37" s="3016" t="str">
        <f t="shared" si="15"/>
        <v>市政基础设施</v>
      </c>
      <c r="AA37" s="774">
        <f t="shared" si="3"/>
        <v>1</v>
      </c>
      <c r="AB37" s="774">
        <f t="shared" si="4"/>
        <v>1</v>
      </c>
      <c r="AC37" s="774">
        <f t="shared" si="5"/>
        <v>1</v>
      </c>
    </row>
    <row r="38" spans="1:29" ht="15">
      <c r="A38" s="473"/>
      <c r="B38" s="3017" t="s">
        <v>2664</v>
      </c>
      <c r="C38" s="2616" t="s">
        <v>3396</v>
      </c>
      <c r="D38" s="436">
        <v>100</v>
      </c>
      <c r="E38" s="2616" t="s">
        <v>3396</v>
      </c>
      <c r="F38" s="462">
        <f>SUMIF(114:114,E38,115:115)-SUMIF(114:114,C38,115:115)+100</f>
        <v>100</v>
      </c>
      <c r="G38" s="2616" t="s">
        <v>3396</v>
      </c>
      <c r="H38" s="436">
        <f>SUMIF(114:114,G38,115:115)-SUMIF(114:114,C38,115:115)+100</f>
        <v>100</v>
      </c>
      <c r="I38" s="2616" t="s">
        <v>3396</v>
      </c>
      <c r="J38" s="436">
        <f>SUMIF(114:114,I38,115:115)-SUMIF(114:114,C38,115:115)+100</f>
        <v>100</v>
      </c>
      <c r="K38" s="613">
        <v>2</v>
      </c>
      <c r="L38" s="1144"/>
      <c r="M38" s="1135"/>
      <c r="N38" s="1135"/>
      <c r="O38" s="1135"/>
      <c r="P38" s="3324" t="s">
        <v>2565</v>
      </c>
      <c r="Q38" s="3018" t="str">
        <f t="shared" si="11"/>
        <v>业态</v>
      </c>
      <c r="R38" s="775" t="s">
        <v>17</v>
      </c>
      <c r="S38" s="776">
        <f t="shared" si="12"/>
        <v>100</v>
      </c>
      <c r="T38" s="775" t="s">
        <v>17</v>
      </c>
      <c r="U38" s="776">
        <f t="shared" si="13"/>
        <v>100</v>
      </c>
      <c r="V38" s="775" t="s">
        <v>17</v>
      </c>
      <c r="W38" s="776">
        <f t="shared" si="14"/>
        <v>100</v>
      </c>
      <c r="X38" s="3022"/>
      <c r="Y38" s="3326" t="s">
        <v>2565</v>
      </c>
      <c r="Z38" s="3020" t="str">
        <f t="shared" si="15"/>
        <v>业态</v>
      </c>
      <c r="AA38" s="3019">
        <f t="shared" si="3"/>
        <v>1</v>
      </c>
      <c r="AB38" s="3019">
        <f t="shared" si="4"/>
        <v>1</v>
      </c>
      <c r="AC38" s="3019">
        <f t="shared" si="5"/>
        <v>1</v>
      </c>
    </row>
    <row r="39" spans="1:29" ht="15">
      <c r="A39" s="473"/>
      <c r="B39" s="3017" t="s">
        <v>2665</v>
      </c>
      <c r="C39" s="2616" t="s">
        <v>3273</v>
      </c>
      <c r="D39" s="436">
        <v>100</v>
      </c>
      <c r="E39" s="2616" t="s">
        <v>3273</v>
      </c>
      <c r="F39" s="462">
        <f>SUMIF(116:116,E39,117:117)-SUMIF(116:116,C39,117:117)+100</f>
        <v>100</v>
      </c>
      <c r="G39" s="2616" t="s">
        <v>3273</v>
      </c>
      <c r="H39" s="436">
        <f>SUMIF(116:116,G39,117:117)-SUMIF(116:116,C39,117:117)+100</f>
        <v>100</v>
      </c>
      <c r="I39" s="2616" t="s">
        <v>3273</v>
      </c>
      <c r="J39" s="436">
        <f>SUMIF(116:116,I39,117:117)-SUMIF(116:116,C39,117:117)+100</f>
        <v>100</v>
      </c>
      <c r="K39" s="613">
        <v>2</v>
      </c>
      <c r="L39" s="1144"/>
      <c r="M39" s="1135"/>
      <c r="N39" s="1135"/>
      <c r="O39" s="1135"/>
      <c r="P39" s="3324"/>
      <c r="Q39" s="3018" t="str">
        <f t="shared" si="11"/>
        <v>层高</v>
      </c>
      <c r="R39" s="775" t="s">
        <v>17</v>
      </c>
      <c r="S39" s="776">
        <f t="shared" si="12"/>
        <v>100</v>
      </c>
      <c r="T39" s="775" t="s">
        <v>17</v>
      </c>
      <c r="U39" s="776">
        <f t="shared" si="13"/>
        <v>100</v>
      </c>
      <c r="V39" s="775" t="s">
        <v>17</v>
      </c>
      <c r="W39" s="776">
        <f t="shared" si="14"/>
        <v>100</v>
      </c>
      <c r="X39" s="3022"/>
      <c r="Y39" s="3326"/>
      <c r="Z39" s="3020" t="str">
        <f t="shared" si="15"/>
        <v>层高</v>
      </c>
      <c r="AA39" s="3019">
        <f t="shared" si="3"/>
        <v>1</v>
      </c>
      <c r="AB39" s="3019">
        <f t="shared" si="4"/>
        <v>1</v>
      </c>
      <c r="AC39" s="3019">
        <f t="shared" si="5"/>
        <v>1</v>
      </c>
    </row>
    <row r="40" spans="1:29" ht="15">
      <c r="A40" s="473"/>
      <c r="B40" s="3017"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24"/>
      <c r="Q40" s="3018" t="str">
        <f t="shared" si="11"/>
        <v>单套建筑面积</v>
      </c>
      <c r="R40" s="775" t="s">
        <v>17</v>
      </c>
      <c r="S40" s="776">
        <f t="shared" si="12"/>
        <v>100</v>
      </c>
      <c r="T40" s="775" t="s">
        <v>17</v>
      </c>
      <c r="U40" s="776">
        <f t="shared" si="13"/>
        <v>100</v>
      </c>
      <c r="V40" s="775" t="s">
        <v>17</v>
      </c>
      <c r="W40" s="776">
        <f t="shared" si="14"/>
        <v>100</v>
      </c>
      <c r="X40" s="3022"/>
      <c r="Y40" s="3326"/>
      <c r="Z40" s="3020" t="str">
        <f t="shared" si="15"/>
        <v>单套建筑面积</v>
      </c>
      <c r="AA40" s="3019">
        <f t="shared" si="3"/>
        <v>1</v>
      </c>
      <c r="AB40" s="3019">
        <f t="shared" si="4"/>
        <v>1</v>
      </c>
      <c r="AC40" s="3019">
        <f t="shared" si="5"/>
        <v>1</v>
      </c>
    </row>
    <row r="41" spans="1:29" s="472" customFormat="1" ht="15">
      <c r="A41" s="469"/>
      <c r="B41" s="3023" t="s">
        <v>2667</v>
      </c>
      <c r="C41" s="617" t="s">
        <v>3402</v>
      </c>
      <c r="D41" s="436">
        <v>100</v>
      </c>
      <c r="E41" s="617" t="s">
        <v>3402</v>
      </c>
      <c r="F41" s="462">
        <f>SUMIF(120:120,E41,121:121)-SUMIF(120:120,C41,121:121)+100</f>
        <v>100</v>
      </c>
      <c r="G41" s="617" t="s">
        <v>3402</v>
      </c>
      <c r="H41" s="436">
        <f>SUMIF(120:120,G41,121:121)-SUMIF(120:120,C41,121:121)+100</f>
        <v>100</v>
      </c>
      <c r="I41" s="617" t="s">
        <v>3402</v>
      </c>
      <c r="J41" s="436">
        <f>SUMIF(120:120,I41,121:121)-SUMIF(120:120,C41,121:121)+100</f>
        <v>100</v>
      </c>
      <c r="K41" s="613">
        <v>2</v>
      </c>
      <c r="L41" s="1142"/>
      <c r="M41" s="1145"/>
      <c r="N41" s="1145"/>
      <c r="O41" s="1145"/>
      <c r="P41" s="3324"/>
      <c r="Q41" s="777" t="str">
        <f t="shared" si="11"/>
        <v>进深比</v>
      </c>
      <c r="R41" s="778" t="s">
        <v>17</v>
      </c>
      <c r="S41" s="779">
        <f t="shared" si="12"/>
        <v>100</v>
      </c>
      <c r="T41" s="778" t="s">
        <v>17</v>
      </c>
      <c r="U41" s="779">
        <f t="shared" si="13"/>
        <v>100</v>
      </c>
      <c r="V41" s="778" t="s">
        <v>17</v>
      </c>
      <c r="W41" s="779">
        <f t="shared" si="14"/>
        <v>100</v>
      </c>
      <c r="X41" s="780"/>
      <c r="Y41" s="3326"/>
      <c r="Z41" s="781" t="str">
        <f t="shared" si="15"/>
        <v>进深比</v>
      </c>
      <c r="AA41" s="3019">
        <f t="shared" si="3"/>
        <v>1</v>
      </c>
      <c r="AB41" s="3019">
        <f t="shared" si="4"/>
        <v>1</v>
      </c>
      <c r="AC41" s="3019">
        <f t="shared" si="5"/>
        <v>1</v>
      </c>
    </row>
    <row r="42" spans="1:29" ht="15">
      <c r="A42" s="473"/>
      <c r="B42" s="3017" t="s">
        <v>2668</v>
      </c>
      <c r="C42" s="2616" t="s">
        <v>3252</v>
      </c>
      <c r="D42" s="436">
        <v>100</v>
      </c>
      <c r="E42" s="2616" t="s">
        <v>3250</v>
      </c>
      <c r="F42" s="462">
        <f>SUMIF(122:122,E42,123:123)-SUMIF(122:122,C42,123:123)+100</f>
        <v>102</v>
      </c>
      <c r="G42" s="2616" t="s">
        <v>3388</v>
      </c>
      <c r="H42" s="436">
        <f>SUMIF(122:122,G42,123:123)-SUMIF(122:122,C42,123:123)+100</f>
        <v>98</v>
      </c>
      <c r="I42" s="2616" t="s">
        <v>3388</v>
      </c>
      <c r="J42" s="436">
        <f>SUMIF(122:122,I42,123:123)-SUMIF(122:122,C42,123:123)+100</f>
        <v>98</v>
      </c>
      <c r="K42" s="613">
        <v>2</v>
      </c>
      <c r="L42" s="1144"/>
      <c r="M42" s="1135"/>
      <c r="N42" s="1135"/>
      <c r="O42" s="1135"/>
      <c r="P42" s="3324"/>
      <c r="Q42" s="3018" t="str">
        <f t="shared" si="11"/>
        <v>内部装修</v>
      </c>
      <c r="R42" s="775" t="s">
        <v>17</v>
      </c>
      <c r="S42" s="776">
        <f t="shared" si="12"/>
        <v>102</v>
      </c>
      <c r="T42" s="775" t="s">
        <v>17</v>
      </c>
      <c r="U42" s="776">
        <f t="shared" si="13"/>
        <v>98</v>
      </c>
      <c r="V42" s="775" t="s">
        <v>17</v>
      </c>
      <c r="W42" s="776">
        <f t="shared" si="14"/>
        <v>98</v>
      </c>
      <c r="X42" s="3022"/>
      <c r="Y42" s="3326"/>
      <c r="Z42" s="3020" t="str">
        <f t="shared" si="15"/>
        <v>内部装修</v>
      </c>
      <c r="AA42" s="3019">
        <f t="shared" si="3"/>
        <v>0.98039215686274506</v>
      </c>
      <c r="AB42" s="3019">
        <f t="shared" si="4"/>
        <v>1.0204081632653061</v>
      </c>
      <c r="AC42" s="3019">
        <f t="shared" si="5"/>
        <v>1.0204081632653061</v>
      </c>
    </row>
    <row r="43" spans="1:29" ht="15">
      <c r="A43" s="473"/>
      <c r="B43" s="3017" t="s">
        <v>2576</v>
      </c>
      <c r="C43" s="2616" t="s">
        <v>3281</v>
      </c>
      <c r="D43" s="436">
        <v>100</v>
      </c>
      <c r="E43" s="2616" t="s">
        <v>3281</v>
      </c>
      <c r="F43" s="462">
        <f>SUMIF(124:124,E43,125:125)-SUMIF(124:124,C43,125:125)+100</f>
        <v>100</v>
      </c>
      <c r="G43" s="2616" t="s">
        <v>3281</v>
      </c>
      <c r="H43" s="436">
        <f>SUMIF(124:124,G43,125:125)-SUMIF(124:124,C43,125:125)+100</f>
        <v>100</v>
      </c>
      <c r="I43" s="2616" t="s">
        <v>3281</v>
      </c>
      <c r="J43" s="436">
        <f>SUMIF(124:124,I43,125:125)-SUMIF(124:124,C43,125:125)+100</f>
        <v>100</v>
      </c>
      <c r="K43" s="613">
        <v>2</v>
      </c>
      <c r="L43" s="1144"/>
      <c r="M43" s="1135"/>
      <c r="N43" s="1135"/>
      <c r="O43" s="1135"/>
      <c r="P43" s="3324"/>
      <c r="Q43" s="3018" t="str">
        <f t="shared" si="11"/>
        <v>内部装修维护情况</v>
      </c>
      <c r="R43" s="775" t="s">
        <v>17</v>
      </c>
      <c r="S43" s="776">
        <f t="shared" si="12"/>
        <v>100</v>
      </c>
      <c r="T43" s="775" t="s">
        <v>17</v>
      </c>
      <c r="U43" s="776">
        <f t="shared" si="13"/>
        <v>100</v>
      </c>
      <c r="V43" s="775" t="s">
        <v>17</v>
      </c>
      <c r="W43" s="776">
        <f t="shared" si="14"/>
        <v>100</v>
      </c>
      <c r="X43" s="3022"/>
      <c r="Y43" s="3326"/>
      <c r="Z43" s="3020" t="str">
        <f t="shared" si="15"/>
        <v>内部装修维护情况</v>
      </c>
      <c r="AA43" s="3019">
        <f t="shared" si="3"/>
        <v>1</v>
      </c>
      <c r="AB43" s="3019">
        <f t="shared" si="4"/>
        <v>1</v>
      </c>
      <c r="AC43" s="3019">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24"/>
      <c r="Q44" s="3015">
        <f t="shared" si="11"/>
        <v>111</v>
      </c>
      <c r="R44" s="771" t="s">
        <v>17</v>
      </c>
      <c r="S44" s="772">
        <f t="shared" si="12"/>
        <v>100</v>
      </c>
      <c r="T44" s="771" t="s">
        <v>17</v>
      </c>
      <c r="U44" s="772">
        <f t="shared" si="13"/>
        <v>100</v>
      </c>
      <c r="V44" s="771" t="s">
        <v>17</v>
      </c>
      <c r="W44" s="772">
        <f t="shared" si="14"/>
        <v>100</v>
      </c>
      <c r="X44" s="773"/>
      <c r="Y44" s="3326"/>
      <c r="Z44" s="3016">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24"/>
      <c r="Q45" s="3018">
        <f t="shared" si="11"/>
        <v>111</v>
      </c>
      <c r="R45" s="775" t="s">
        <v>17</v>
      </c>
      <c r="S45" s="776">
        <f t="shared" si="12"/>
        <v>100</v>
      </c>
      <c r="T45" s="775" t="s">
        <v>17</v>
      </c>
      <c r="U45" s="776">
        <f t="shared" si="13"/>
        <v>100</v>
      </c>
      <c r="V45" s="775" t="s">
        <v>17</v>
      </c>
      <c r="W45" s="776">
        <f t="shared" si="14"/>
        <v>100</v>
      </c>
      <c r="X45" s="3022"/>
      <c r="Y45" s="3326"/>
      <c r="Z45" s="3020">
        <f t="shared" si="15"/>
        <v>111</v>
      </c>
      <c r="AA45" s="3019">
        <f t="shared" si="3"/>
        <v>1</v>
      </c>
      <c r="AB45" s="3019">
        <f t="shared" si="4"/>
        <v>1</v>
      </c>
      <c r="AC45" s="3019">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25"/>
      <c r="Q46" s="3018">
        <f t="shared" si="11"/>
        <v>111</v>
      </c>
      <c r="R46" s="775" t="s">
        <v>17</v>
      </c>
      <c r="S46" s="776">
        <f t="shared" si="12"/>
        <v>100</v>
      </c>
      <c r="T46" s="775" t="s">
        <v>17</v>
      </c>
      <c r="U46" s="776">
        <f t="shared" si="13"/>
        <v>100</v>
      </c>
      <c r="V46" s="775" t="s">
        <v>17</v>
      </c>
      <c r="W46" s="776">
        <f t="shared" si="14"/>
        <v>100</v>
      </c>
      <c r="X46" s="3022"/>
      <c r="Y46" s="3327"/>
      <c r="Z46" s="3020">
        <f t="shared" si="15"/>
        <v>111</v>
      </c>
      <c r="AA46" s="3019">
        <f t="shared" si="3"/>
        <v>1</v>
      </c>
      <c r="AB46" s="3019">
        <f t="shared" si="4"/>
        <v>1</v>
      </c>
      <c r="AC46" s="3019">
        <f t="shared" si="5"/>
        <v>1</v>
      </c>
    </row>
    <row r="47" spans="1:29" ht="15">
      <c r="A47" s="480" t="s">
        <v>2577</v>
      </c>
      <c r="B47" s="481"/>
      <c r="C47" s="1411" t="s">
        <v>1</v>
      </c>
      <c r="D47" s="1412"/>
      <c r="E47" s="1413">
        <v>12</v>
      </c>
      <c r="F47" s="1414"/>
      <c r="G47" s="1415">
        <v>11</v>
      </c>
      <c r="H47" s="1416"/>
      <c r="I47" s="1413">
        <v>12</v>
      </c>
      <c r="J47" s="1416"/>
      <c r="K47" s="784"/>
      <c r="L47" s="1147">
        <v>0.95</v>
      </c>
      <c r="M47" s="1148"/>
      <c r="N47" s="1135"/>
      <c r="O47" s="1148"/>
      <c r="P47" s="3314" t="str">
        <f>A47</f>
        <v>成交单价（元/平方米）</v>
      </c>
      <c r="Q47" s="3314"/>
      <c r="R47" s="3348">
        <f>E47</f>
        <v>12</v>
      </c>
      <c r="S47" s="3348"/>
      <c r="T47" s="3348">
        <f>G47</f>
        <v>11</v>
      </c>
      <c r="U47" s="3348"/>
      <c r="V47" s="3348">
        <f>I47</f>
        <v>12</v>
      </c>
      <c r="W47" s="3348"/>
      <c r="X47" s="760"/>
      <c r="Y47" s="782"/>
      <c r="Z47" s="760"/>
      <c r="AA47" s="760"/>
      <c r="AB47" s="760"/>
      <c r="AC47" s="760"/>
    </row>
    <row r="48" spans="1:29" ht="15.75" thickBot="1">
      <c r="A48" s="487" t="s">
        <v>2669</v>
      </c>
      <c r="B48" s="488"/>
      <c r="C48" s="1417">
        <f>R49</f>
        <v>12</v>
      </c>
      <c r="D48" s="1418"/>
      <c r="E48" s="1419">
        <f>R48</f>
        <v>11.3</v>
      </c>
      <c r="F48" s="1419"/>
      <c r="G48" s="1417">
        <f>T48</f>
        <v>11.9</v>
      </c>
      <c r="H48" s="1418"/>
      <c r="I48" s="1419">
        <f>V48</f>
        <v>12.9</v>
      </c>
      <c r="J48" s="1418"/>
      <c r="K48" s="785"/>
      <c r="L48" s="1147"/>
      <c r="M48" s="1148"/>
      <c r="N48" s="1135"/>
      <c r="O48" s="1148"/>
      <c r="P48" s="3314" t="str">
        <f>A48</f>
        <v>比较价值（元/平方米）</v>
      </c>
      <c r="Q48" s="3314"/>
      <c r="R48" s="3315">
        <f>IF(F1="售价",ROUND(PRODUCT(R47,AA7:AA46),0),ROUND(PRODUCT(R47,AA7:AA46),1))</f>
        <v>11.3</v>
      </c>
      <c r="S48" s="3315"/>
      <c r="T48" s="3315">
        <f>IF(F1="售价",ROUND(PRODUCT(T47,AB7:AB46),0),ROUND(PRODUCT(T47,AB7:AB46),1))</f>
        <v>11.9</v>
      </c>
      <c r="U48" s="3315"/>
      <c r="V48" s="3315">
        <f>IF(F1="售价",ROUND(PRODUCT(V47,AC7:AC46),0),ROUND(PRODUCT(V47,AC7:AC46),1))</f>
        <v>12.9</v>
      </c>
      <c r="W48" s="3315"/>
      <c r="X48" s="760"/>
      <c r="Y48" s="760"/>
      <c r="Z48" s="760"/>
      <c r="AA48" s="760"/>
      <c r="AB48" s="760"/>
      <c r="AC48" s="760"/>
    </row>
    <row r="49" spans="1:29" ht="15.75" thickBot="1">
      <c r="A49" s="493" t="s">
        <v>2670</v>
      </c>
      <c r="B49" s="494"/>
      <c r="C49" s="1421">
        <f>R49</f>
        <v>12</v>
      </c>
      <c r="D49" s="1421"/>
      <c r="E49" s="1421"/>
      <c r="F49" s="1421"/>
      <c r="G49" s="1421"/>
      <c r="H49" s="1421"/>
      <c r="I49" s="1421"/>
      <c r="J49" s="1421"/>
      <c r="K49" s="786"/>
      <c r="L49" s="1147"/>
      <c r="M49" s="1148"/>
      <c r="N49" s="1135"/>
      <c r="O49" s="1148"/>
      <c r="P49" s="3377" t="str">
        <f>A49</f>
        <v>估价对象XX用房的比较价值（楼面单价，元/平方米）</v>
      </c>
      <c r="Q49" s="3378"/>
      <c r="R49" s="3379">
        <f>IF(F1="售价",ROUND(AVERAGE(R48:V48),0),ROUND(AVERAGE(R48:V48),1))</f>
        <v>12</v>
      </c>
      <c r="S49" s="3379"/>
      <c r="T49" s="3379"/>
      <c r="U49" s="3379"/>
      <c r="V49" s="3379"/>
      <c r="W49" s="337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6.1946902654867131E-2</v>
      </c>
      <c r="F52" s="501" t="str">
        <f>IF(OR(E52&gt;=0.3,E52&lt;=-0.3),"超过30%","")</f>
        <v/>
      </c>
      <c r="G52" s="500">
        <f>IF(G47&lt;G48,G48/G47-1,G47/G48-1)</f>
        <v>8.181818181818179E-2</v>
      </c>
      <c r="H52" s="501" t="str">
        <f>IF(OR(G52&gt;=0.3,G52&lt;=-0.3),"超过30%","")</f>
        <v/>
      </c>
      <c r="I52" s="500">
        <f>IF(I47&lt;I48,I48/I47-1,I47/I48-1)</f>
        <v>7.4999999999999956E-2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5.3097345132743223E-2</v>
      </c>
      <c r="F53" s="501" t="str">
        <f>IF(OR(E53&gt;=0.2,E53&lt;=-0.2),"超过20%","")</f>
        <v/>
      </c>
      <c r="G53" s="500">
        <f>IF(G48&lt;I48,I48/G48-1,G48/I48-1)</f>
        <v>8.4033613445378075E-2</v>
      </c>
      <c r="H53" s="501" t="str">
        <f>IF(OR(G53&gt;=0.2,G53&lt;=-0.2),"超过20%","")</f>
        <v/>
      </c>
      <c r="I53" s="500">
        <f>IF(I48&lt;E48,E48/I48-1,I48/E48-1)</f>
        <v>0.1415929203539823</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9.0909090909090828E-2</v>
      </c>
      <c r="F54" s="501" t="str">
        <f>IF(OR(E54&gt;=0.3,E54&lt;=-0.3),"超过30%","")</f>
        <v/>
      </c>
      <c r="G54" s="500">
        <f>IF(G47&lt;I47,I47/G47-1,G47/I47-1)</f>
        <v>9.0909090909090828E-2</v>
      </c>
      <c r="H54" s="501" t="str">
        <f>IF(OR(G54&gt;=0.3,G54&lt;=-0.3),"超过30%","")</f>
        <v/>
      </c>
      <c r="I54" s="500">
        <f>IF(I47&lt;E47,E47/I47-1,I47/E47-1)</f>
        <v>0</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05" t="s">
        <v>3361</v>
      </c>
      <c r="D86" s="3005" t="s">
        <v>3363</v>
      </c>
      <c r="E86" s="3005" t="s">
        <v>3365</v>
      </c>
      <c r="F86" s="3005" t="s">
        <v>3366</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05" t="s">
        <v>3367</v>
      </c>
      <c r="D88" s="3005" t="s">
        <v>3368</v>
      </c>
      <c r="E88" s="3005" t="s">
        <v>3369</v>
      </c>
      <c r="F88" s="3070" t="s">
        <v>3370</v>
      </c>
      <c r="G88" s="3005" t="s">
        <v>3371</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05" t="s">
        <v>3367</v>
      </c>
      <c r="D90" s="3005" t="s">
        <v>3372</v>
      </c>
      <c r="E90" s="3005" t="s">
        <v>3369</v>
      </c>
      <c r="F90" s="3005" t="s">
        <v>3370</v>
      </c>
      <c r="G90" s="3005" t="s">
        <v>3371</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3373</v>
      </c>
      <c r="D92" s="555" t="s">
        <v>3374</v>
      </c>
      <c r="E92" s="555" t="s">
        <v>3375</v>
      </c>
      <c r="F92" s="555" t="s">
        <v>3376</v>
      </c>
      <c r="G92" s="555" t="s">
        <v>3377</v>
      </c>
      <c r="H92" s="555" t="s">
        <v>3378</v>
      </c>
      <c r="I92" s="555"/>
      <c r="J92" s="555"/>
      <c r="K92" s="555"/>
      <c r="L92" s="581"/>
      <c r="M92" s="582"/>
      <c r="N92" s="1156"/>
      <c r="O92" s="1156"/>
      <c r="P92" s="2633"/>
      <c r="Q92" s="505"/>
    </row>
    <row r="93" spans="1:17" ht="15.75" thickBot="1">
      <c r="A93" s="535"/>
      <c r="B93" s="544"/>
      <c r="C93" s="537">
        <v>100</v>
      </c>
      <c r="D93" s="3088">
        <v>75</v>
      </c>
      <c r="E93" s="3088">
        <v>65</v>
      </c>
      <c r="F93" s="3088">
        <v>65</v>
      </c>
      <c r="G93" s="3088">
        <v>55</v>
      </c>
      <c r="H93" s="3088">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06" t="s">
        <v>3379</v>
      </c>
      <c r="D100" s="3006" t="s">
        <v>3380</v>
      </c>
      <c r="E100" s="3006" t="s">
        <v>3467</v>
      </c>
      <c r="F100" s="3006" t="s">
        <v>3465</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05" t="s">
        <v>3383</v>
      </c>
      <c r="D105" s="3005" t="s">
        <v>3384</v>
      </c>
      <c r="E105" s="3007" t="s">
        <v>3385</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05" t="s">
        <v>3386</v>
      </c>
      <c r="D107" s="3005" t="s">
        <v>3387</v>
      </c>
      <c r="E107" s="3005" t="s">
        <v>3389</v>
      </c>
      <c r="F107" s="3007" t="s">
        <v>3390</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05" t="s">
        <v>3391</v>
      </c>
      <c r="D112" s="3005" t="s">
        <v>3392</v>
      </c>
      <c r="E112" s="3005" t="s">
        <v>3393</v>
      </c>
      <c r="F112" s="3005" t="s">
        <v>3394</v>
      </c>
      <c r="G112" s="3005" t="s">
        <v>3395</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05" t="s">
        <v>3397</v>
      </c>
      <c r="D114" s="3005" t="s">
        <v>3398</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05" t="s">
        <v>3399</v>
      </c>
      <c r="D116" s="3005" t="s">
        <v>3400</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07" t="s">
        <v>3401</v>
      </c>
      <c r="D120" s="3007" t="s">
        <v>3403</v>
      </c>
      <c r="E120" s="3007" t="s">
        <v>3404</v>
      </c>
      <c r="F120" s="3007" t="s">
        <v>3405</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05" t="s">
        <v>3386</v>
      </c>
      <c r="D122" s="3005" t="s">
        <v>3387</v>
      </c>
      <c r="E122" s="3005" t="s">
        <v>3389</v>
      </c>
      <c r="F122" s="3007" t="s">
        <v>3390</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2" sqref="B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3406</v>
      </c>
      <c r="D1" s="1825" t="s">
        <v>70</v>
      </c>
      <c r="E1" s="1826" t="s">
        <v>1388</v>
      </c>
      <c r="F1" s="1287">
        <f ca="1">J53</f>
        <v>25.87</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2272</v>
      </c>
      <c r="C2" s="1850" t="s">
        <v>1518</v>
      </c>
      <c r="D2" s="1850"/>
      <c r="E2" s="1851"/>
      <c r="F2" s="1852"/>
      <c r="G2" s="1853"/>
      <c r="H2" s="1845"/>
      <c r="I2" s="1845"/>
      <c r="J2" s="1845"/>
      <c r="K2" s="1846"/>
      <c r="L2" s="1845"/>
      <c r="M2" s="1845"/>
    </row>
    <row r="3" spans="1:37" ht="18" customHeight="1" thickBot="1">
      <c r="A3" s="1854" t="s">
        <v>1519</v>
      </c>
      <c r="B3" s="1855">
        <f ca="1">IF(ISERROR(B2*10000/F43),0,ROUND(B2*10000/F43,0))</f>
        <v>45440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196</v>
      </c>
      <c r="D5" s="1827" t="s">
        <v>1403</v>
      </c>
      <c r="E5" s="1297"/>
      <c r="F5" s="1298"/>
      <c r="G5" s="1856"/>
      <c r="H5" s="345">
        <v>1</v>
      </c>
      <c r="I5" s="346" t="s">
        <v>1402</v>
      </c>
      <c r="J5" s="1296">
        <f ca="1">J6+J10+J12</f>
        <v>152</v>
      </c>
      <c r="K5" s="1827" t="s">
        <v>1403</v>
      </c>
      <c r="L5" s="1297"/>
      <c r="M5" s="1298"/>
    </row>
    <row r="6" spans="1:37" ht="18" customHeight="1">
      <c r="A6" s="1295" t="s">
        <v>1035</v>
      </c>
      <c r="B6" s="3372" t="s">
        <v>1404</v>
      </c>
      <c r="C6" s="1300">
        <f ca="1">ROUND(F6*F8*F7*(1-F9)/10000,0)</f>
        <v>196</v>
      </c>
      <c r="D6" s="165" t="s">
        <v>3034</v>
      </c>
      <c r="E6" s="348" t="s">
        <v>1406</v>
      </c>
      <c r="F6" s="349">
        <f ca="1">INDIRECT("'数据-取费表'!u"&amp;$G$1)</f>
        <v>10.73</v>
      </c>
      <c r="G6" s="1856"/>
      <c r="H6" s="1295" t="s">
        <v>1035</v>
      </c>
      <c r="I6" s="3372" t="s">
        <v>1404</v>
      </c>
      <c r="J6" s="347">
        <f ca="1">ROUND(M6*M8*M7*(1-M9)/10000,0)</f>
        <v>152</v>
      </c>
      <c r="K6" s="165" t="s">
        <v>3033</v>
      </c>
      <c r="L6" s="348" t="s">
        <v>1406</v>
      </c>
      <c r="M6" s="349">
        <f ca="1">INDIRECT("'数据-取费表'!z"&amp;$G$1)</f>
        <v>9.2799999999999994</v>
      </c>
    </row>
    <row r="7" spans="1:37" ht="18" customHeight="1">
      <c r="A7" s="1299"/>
      <c r="B7" s="3373"/>
      <c r="C7" s="1301"/>
      <c r="D7" s="353"/>
      <c r="E7" s="2935" t="s">
        <v>1407</v>
      </c>
      <c r="F7" s="349">
        <f ca="1">IF(INDIRECT("'数据-取费表'!ah"&amp;$G$1)="",INDIRECT("'数据-取费表'!k"&amp;$G$1),INDIRECT("'数据-取费表'!ah"&amp;$G$1))</f>
        <v>500</v>
      </c>
      <c r="G7" s="1856"/>
      <c r="H7" s="350"/>
      <c r="I7" s="3373"/>
      <c r="J7" s="352"/>
      <c r="K7" s="353"/>
      <c r="L7" s="348" t="s">
        <v>1407</v>
      </c>
      <c r="M7" s="349">
        <f ca="1">F7</f>
        <v>500</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v>
      </c>
      <c r="G9" s="1856"/>
      <c r="H9" s="350"/>
      <c r="I9" s="3374"/>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0</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285</v>
      </c>
      <c r="D13" s="1335" t="s">
        <v>1417</v>
      </c>
      <c r="E13" s="1335" t="s">
        <v>1418</v>
      </c>
      <c r="F13" s="1336">
        <f ca="1">INDIRECT("'数据-取费表'!y"&amp;$G$1)</f>
        <v>0.87</v>
      </c>
      <c r="G13" s="1856"/>
      <c r="H13" s="1333">
        <v>2</v>
      </c>
      <c r="I13" s="1334" t="s">
        <v>1416</v>
      </c>
      <c r="J13" s="1294">
        <f ca="1">ROUND(J14*J15,0)</f>
        <v>272</v>
      </c>
      <c r="K13" s="1341" t="s">
        <v>1417</v>
      </c>
      <c r="L13" s="1857"/>
      <c r="M13" s="1858"/>
    </row>
    <row r="14" spans="1:37" ht="18" customHeight="1">
      <c r="A14" s="1205" t="s">
        <v>1034</v>
      </c>
      <c r="B14" s="348" t="s">
        <v>1419</v>
      </c>
      <c r="C14" s="364">
        <f ca="1">INDIRECT("'数据-取费表'!m"&amp;$G$1)+INDIRECT("'数据-取费表'!t"&amp;$G$1)</f>
        <v>190</v>
      </c>
      <c r="D14" s="2929" t="s">
        <v>1420</v>
      </c>
      <c r="E14" s="2927"/>
      <c r="F14" s="365"/>
      <c r="G14" s="1856"/>
      <c r="H14" s="1205" t="s">
        <v>1035</v>
      </c>
      <c r="I14" s="348" t="s">
        <v>1421</v>
      </c>
      <c r="J14" s="24">
        <f ca="1">C29</f>
        <v>328</v>
      </c>
      <c r="K14" s="2934"/>
      <c r="L14" s="983"/>
      <c r="M14" s="984"/>
    </row>
    <row r="15" spans="1:37" s="1863" customFormat="1" ht="18" customHeight="1" thickBot="1">
      <c r="A15" s="1205" t="s">
        <v>1036</v>
      </c>
      <c r="B15" s="348" t="s">
        <v>1422</v>
      </c>
      <c r="C15" s="24">
        <f ca="1">ROUND(C14*F15,0)</f>
        <v>10</v>
      </c>
      <c r="D15" s="366" t="s">
        <v>1423</v>
      </c>
      <c r="E15" s="366" t="s">
        <v>1424</v>
      </c>
      <c r="F15" s="367">
        <f>'数据-取费表'!B33</f>
        <v>0.05</v>
      </c>
      <c r="G15" s="1859"/>
      <c r="H15" s="1343" t="s">
        <v>1039</v>
      </c>
      <c r="I15" s="1344" t="s">
        <v>1418</v>
      </c>
      <c r="J15" s="1353">
        <f ca="1">INDIRECT("'数据-取费表'!ad"&amp;$G$1)</f>
        <v>0.83</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21</v>
      </c>
      <c r="K16" s="1341" t="s">
        <v>1427</v>
      </c>
      <c r="L16" s="2930"/>
      <c r="M16" s="1298"/>
    </row>
    <row r="17" spans="1:37" s="1863" customFormat="1" ht="18" customHeight="1">
      <c r="A17" s="1205" t="s">
        <v>1391</v>
      </c>
      <c r="B17" s="348" t="s">
        <v>1428</v>
      </c>
      <c r="C17" s="24">
        <f ca="1">ROUND(F17*(F43+INDIRECT("'数据-取费表'!S"&amp;$G$1))/10000,0)</f>
        <v>10</v>
      </c>
      <c r="D17" s="348" t="s">
        <v>1429</v>
      </c>
      <c r="E17" s="348" t="s">
        <v>1430</v>
      </c>
      <c r="F17" s="26">
        <f>'数据-取费表'!B35</f>
        <v>200</v>
      </c>
      <c r="G17" s="1859"/>
      <c r="H17" s="1205" t="s">
        <v>1035</v>
      </c>
      <c r="I17" s="348" t="s">
        <v>1431</v>
      </c>
      <c r="J17" s="24">
        <f ca="1">ROUND(IF(项目基本情况!B11="自然人",J5*M17,J18+J19+J20),1)</f>
        <v>11.1</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3</v>
      </c>
      <c r="D18" s="348" t="s">
        <v>1423</v>
      </c>
      <c r="E18" s="348" t="s">
        <v>1424</v>
      </c>
      <c r="F18" s="368">
        <f>'数据-取费表'!B36</f>
        <v>1.4999999999999999E-2</v>
      </c>
      <c r="G18" s="1859"/>
      <c r="H18" s="1205" t="s">
        <v>1034</v>
      </c>
      <c r="I18" s="348" t="s">
        <v>1435</v>
      </c>
      <c r="J18" s="24">
        <f ca="1">ROUND(J5*M18/(1+'数据-取费表'!C42),2)</f>
        <v>8.11</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213</v>
      </c>
      <c r="D19" s="140" t="s">
        <v>1438</v>
      </c>
      <c r="E19" s="2933"/>
      <c r="F19" s="26"/>
      <c r="G19" s="1856"/>
      <c r="H19" s="1205" t="s">
        <v>1036</v>
      </c>
      <c r="I19" s="348" t="s">
        <v>1439</v>
      </c>
      <c r="J19" s="24">
        <f ca="1">IF(K19="按租金收入计税",ROUND(J5*M19,2),ROUND(C29*M19*0.7,2))</f>
        <v>2.76</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v>
      </c>
      <c r="D20" s="370" t="s">
        <v>1442</v>
      </c>
      <c r="E20" s="348" t="s">
        <v>1424</v>
      </c>
      <c r="F20" s="368">
        <f>'数据-取费表'!B37</f>
        <v>0.02</v>
      </c>
      <c r="G20" s="1859"/>
      <c r="H20" s="1205" t="s">
        <v>1390</v>
      </c>
      <c r="I20" s="165" t="s">
        <v>1443</v>
      </c>
      <c r="J20" s="25">
        <f ca="1">ROUND(M20*M21/10000,2)</f>
        <v>0.18</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73.540000000000006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6.6</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8</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0.5</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3</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131</v>
      </c>
      <c r="K25" s="1349" t="s">
        <v>1466</v>
      </c>
      <c r="L25" s="1350"/>
      <c r="M25" s="1351"/>
    </row>
    <row r="26" spans="1:37">
      <c r="A26" s="1205" t="s">
        <v>1034</v>
      </c>
      <c r="B26" s="348" t="s">
        <v>1467</v>
      </c>
      <c r="C26" s="24">
        <f ca="1">ROUND((C19+C20)*F26,0)</f>
        <v>76</v>
      </c>
      <c r="D26" s="370" t="s">
        <v>1468</v>
      </c>
      <c r="E26" s="359" t="s">
        <v>1469</v>
      </c>
      <c r="F26" s="358">
        <f ca="1">INDIRECT("'数据-取费表'!q"&amp;$G$1)</f>
        <v>0.35</v>
      </c>
      <c r="G26" s="1856"/>
      <c r="H26" s="345" t="s">
        <v>1032</v>
      </c>
      <c r="I26" s="346" t="s">
        <v>1470</v>
      </c>
      <c r="J26" s="347">
        <f ca="1">IF(J5&lt;&gt;0,ROUND(J25*(1-((1+M28)/(1+M26))^M27)/(M26-M28),0),0)</f>
        <v>2107</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21.55</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3.5000000000000003E-2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328</v>
      </c>
      <c r="D29" s="1346"/>
      <c r="E29" s="1344"/>
      <c r="F29" s="1347"/>
      <c r="G29" s="1859"/>
      <c r="H29" s="381" t="s">
        <v>1033</v>
      </c>
      <c r="I29" s="382" t="s">
        <v>1481</v>
      </c>
      <c r="J29" s="383">
        <f ca="1">ROUND(J26/(1+F40)^F41,0)</f>
        <v>1638</v>
      </c>
      <c r="K29" s="384" t="s">
        <v>1482</v>
      </c>
      <c r="L29" s="385"/>
      <c r="M29" s="386">
        <f ca="1">INDIRECT("'数据-取费表'!k"&amp;$G$1)</f>
        <v>500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25</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13.4</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10.45</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2.76</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0.18</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73.540000000000006</v>
      </c>
      <c r="G35" s="1856"/>
      <c r="H35" s="746"/>
      <c r="I35" s="1865"/>
      <c r="J35" s="1866"/>
      <c r="K35" s="1867"/>
      <c r="L35" s="1864"/>
      <c r="M35" s="1864"/>
    </row>
    <row r="36" spans="1:18" ht="18" customHeight="1">
      <c r="A36" s="1356" t="s">
        <v>1039</v>
      </c>
      <c r="B36" s="348" t="s">
        <v>1451</v>
      </c>
      <c r="C36" s="24">
        <f ca="1">ROUND(C29*F36,1)</f>
        <v>6.6</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0.6</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171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634</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4.32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12680</v>
      </c>
      <c r="D43" s="384" t="s">
        <v>1490</v>
      </c>
      <c r="E43" s="385" t="s">
        <v>1491</v>
      </c>
      <c r="F43" s="386">
        <f ca="1">INDIRECT("'数据-取费表'!k"&amp;$G$1)</f>
        <v>500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-199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2272</v>
      </c>
      <c r="R47" s="1891" t="s">
        <v>1531</v>
      </c>
    </row>
    <row r="48" spans="1:18" s="1847" customFormat="1" ht="28.5" thickBot="1">
      <c r="A48" s="1364" t="s">
        <v>1135</v>
      </c>
      <c r="B48" s="346" t="s">
        <v>1402</v>
      </c>
      <c r="C48" s="2932">
        <f ca="1">C49+C53+C55</f>
        <v>131</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131</v>
      </c>
      <c r="D49" s="1280" t="s">
        <v>3033</v>
      </c>
      <c r="E49" s="1835" t="s">
        <v>1493</v>
      </c>
      <c r="F49" s="1285">
        <f>市场租金!A13</f>
        <v>8</v>
      </c>
      <c r="G49" s="1896"/>
      <c r="H49" s="794"/>
      <c r="I49" s="1892" t="s">
        <v>1536</v>
      </c>
      <c r="J49" s="1897"/>
      <c r="K49" s="1894" t="s">
        <v>1537</v>
      </c>
      <c r="L49" s="1898"/>
      <c r="O49" s="1899" t="s">
        <v>1042</v>
      </c>
      <c r="P49" s="1890" t="s">
        <v>1538</v>
      </c>
      <c r="Q49" s="1891">
        <f ca="1">C29</f>
        <v>328</v>
      </c>
      <c r="R49" s="1891" t="s">
        <v>1531</v>
      </c>
    </row>
    <row r="50" spans="1:18" s="1847" customFormat="1" ht="13.5" thickBot="1">
      <c r="A50" s="1199"/>
      <c r="B50" s="1202"/>
      <c r="C50" s="1372"/>
      <c r="D50" s="1176"/>
      <c r="E50" s="1281" t="s">
        <v>1407</v>
      </c>
      <c r="F50" s="1282">
        <f ca="1">F7</f>
        <v>500</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2001</v>
      </c>
      <c r="M51" s="1907"/>
      <c r="O51" s="1899" t="s">
        <v>1044</v>
      </c>
      <c r="P51" s="1890" t="s">
        <v>1544</v>
      </c>
      <c r="Q51" s="1902">
        <f>J52</f>
        <v>0</v>
      </c>
      <c r="R51" s="1891"/>
    </row>
    <row r="52" spans="1:18" s="1847" customFormat="1" ht="13.5" thickBot="1">
      <c r="A52" s="1200"/>
      <c r="B52" s="1202"/>
      <c r="C52" s="1203"/>
      <c r="D52" s="1176"/>
      <c r="E52" s="1204" t="s">
        <v>1409</v>
      </c>
      <c r="F52" s="1279">
        <f>市场租金!D14</f>
        <v>0.1</v>
      </c>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t="s">
        <v>3054</v>
      </c>
      <c r="I53" s="1910" t="s">
        <v>1549</v>
      </c>
      <c r="J53" s="1911">
        <f ca="1">IF(M47="住宅",J51,IF(D1="——",MIN(J51,L48),IF(D1="在建（套用方法）",MIN(J51,L48-'数据-取费表'!B24),IF(D1="土地（套用方法）",MIN(J51,L48-'数据-取费表'!B20)))))</f>
        <v>25.87</v>
      </c>
      <c r="K53" s="3370" t="s">
        <v>1550</v>
      </c>
      <c r="L53" s="3371"/>
      <c r="O53" s="1889" t="s">
        <v>1046</v>
      </c>
      <c r="P53" s="1890" t="s">
        <v>1551</v>
      </c>
      <c r="Q53" s="1891">
        <f ca="1">Q47+Q48</f>
        <v>2272</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285</v>
      </c>
      <c r="D56" s="1919"/>
      <c r="E56" s="1920"/>
      <c r="F56" s="1912"/>
      <c r="I56" s="1921" t="s">
        <v>1556</v>
      </c>
      <c r="J56" s="1922" t="s">
        <v>3042</v>
      </c>
      <c r="K56" s="1892" t="s">
        <v>1557</v>
      </c>
      <c r="L56" s="1895" t="str">
        <f ca="1">IF(L48&lt;J51,"——",L48-J53)</f>
        <v>——</v>
      </c>
      <c r="O56" s="1889" t="s">
        <v>1040</v>
      </c>
      <c r="P56" s="1890" t="s">
        <v>1530</v>
      </c>
      <c r="Q56" s="1891">
        <f ca="1">C40+J29</f>
        <v>2272</v>
      </c>
      <c r="R56" s="1891" t="s">
        <v>1531</v>
      </c>
    </row>
    <row r="57" spans="1:18" s="1847" customFormat="1" ht="24.75" thickBot="1">
      <c r="A57" s="1923"/>
      <c r="B57" s="1173" t="s">
        <v>1480</v>
      </c>
      <c r="C57" s="283">
        <f ca="1">C29</f>
        <v>328</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20</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9.9</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6.99</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2.76</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0.18</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2272</v>
      </c>
      <c r="R62" s="1891" t="s">
        <v>1047</v>
      </c>
    </row>
    <row r="63" spans="1:18" s="1847" customFormat="1" ht="13.5" thickBot="1">
      <c r="A63" s="373"/>
      <c r="B63" s="1179"/>
      <c r="C63" s="29"/>
      <c r="D63" s="1189"/>
      <c r="E63" s="1173" t="s">
        <v>1449</v>
      </c>
      <c r="F63" s="349">
        <f t="shared" ca="1" si="0"/>
        <v>73.540000000000006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6.6</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0.6</v>
      </c>
      <c r="D65" s="1187" t="s">
        <v>1456</v>
      </c>
      <c r="E65" s="1173" t="s">
        <v>1424</v>
      </c>
      <c r="F65" s="377">
        <f t="shared" ca="1" si="0"/>
        <v>2E-3</v>
      </c>
      <c r="I65" s="1934" t="s">
        <v>1581</v>
      </c>
      <c r="J65" s="1935">
        <v>40</v>
      </c>
      <c r="K65" s="1935">
        <v>30</v>
      </c>
      <c r="L65" s="1935">
        <v>50</v>
      </c>
      <c r="M65" s="1937">
        <v>0.02</v>
      </c>
      <c r="O65" s="1889" t="s">
        <v>1040</v>
      </c>
      <c r="P65" s="1890" t="s">
        <v>1530</v>
      </c>
      <c r="Q65" s="1891">
        <f ca="1">C40+J29</f>
        <v>2272</v>
      </c>
      <c r="R65" s="1891" t="s">
        <v>1531</v>
      </c>
    </row>
    <row r="66" spans="1:18" s="1847" customFormat="1" ht="16.5" thickBot="1">
      <c r="A66" s="1205" t="s">
        <v>1506</v>
      </c>
      <c r="B66" s="1173" t="s">
        <v>1441</v>
      </c>
      <c r="C66" s="24">
        <f ca="1">ROUND(C48*F66,1)</f>
        <v>2.6</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111</v>
      </c>
      <c r="D67" s="1186" t="s">
        <v>1466</v>
      </c>
      <c r="E67" s="1191"/>
      <c r="F67" s="1192"/>
      <c r="O67" s="1899" t="s">
        <v>1042</v>
      </c>
      <c r="P67" s="1890" t="s">
        <v>1564</v>
      </c>
      <c r="Q67" s="1938">
        <f ca="1">L51</f>
        <v>2001</v>
      </c>
      <c r="R67" s="1891" t="s">
        <v>1584</v>
      </c>
    </row>
    <row r="68" spans="1:18" s="1847" customFormat="1" ht="16.5" thickBot="1">
      <c r="A68" s="1170" t="s">
        <v>1032</v>
      </c>
      <c r="B68" s="1171" t="s">
        <v>1487</v>
      </c>
      <c r="C68" s="347">
        <f ca="1">ROUND(C67*(1-((1+F70)/(1+F68))^F69)/(F68-F70),0)</f>
        <v>435</v>
      </c>
      <c r="D68" s="1188" t="s">
        <v>1471</v>
      </c>
      <c r="E68" s="1173" t="s">
        <v>1472</v>
      </c>
      <c r="F68" s="358">
        <f ca="1">F40</f>
        <v>0.06</v>
      </c>
      <c r="O68" s="1899" t="s">
        <v>1043</v>
      </c>
      <c r="P68" s="1939" t="s">
        <v>1585</v>
      </c>
      <c r="Q68" s="1891">
        <f ca="1">ROUND(Q69-Q70*Q71,0)</f>
        <v>147</v>
      </c>
      <c r="R68" s="1891" t="s">
        <v>1051</v>
      </c>
    </row>
    <row r="69" spans="1:18" s="1847" customFormat="1" ht="13.5" thickBot="1">
      <c r="A69" s="1174"/>
      <c r="B69" s="1175"/>
      <c r="C69" s="352"/>
      <c r="D69" s="1193" t="s">
        <v>1475</v>
      </c>
      <c r="E69" s="1173" t="s">
        <v>1476</v>
      </c>
      <c r="F69" s="380">
        <f ca="1">F41</f>
        <v>4.32</v>
      </c>
      <c r="O69" s="1899" t="s">
        <v>1048</v>
      </c>
      <c r="P69" s="1939" t="s">
        <v>1586</v>
      </c>
      <c r="Q69" s="1891">
        <f ca="1">C39</f>
        <v>171</v>
      </c>
      <c r="R69" s="1891" t="s">
        <v>1531</v>
      </c>
    </row>
    <row r="70" spans="1:18" s="1847" customFormat="1" ht="13.5" thickBot="1">
      <c r="A70" s="1177"/>
      <c r="B70" s="1178"/>
      <c r="C70" s="356"/>
      <c r="D70" s="1189"/>
      <c r="E70" s="1173" t="s">
        <v>1479</v>
      </c>
      <c r="F70" s="1279">
        <f>市场租金!B14</f>
        <v>3.5000000000000003E-2</v>
      </c>
      <c r="O70" s="1899" t="s">
        <v>1049</v>
      </c>
      <c r="P70" s="1939" t="s">
        <v>1587</v>
      </c>
      <c r="Q70" s="1891">
        <f ca="1">C13</f>
        <v>285</v>
      </c>
      <c r="R70" s="1891" t="s">
        <v>1531</v>
      </c>
    </row>
    <row r="71" spans="1:18" s="1847" customFormat="1" ht="13.5" thickBot="1">
      <c r="A71" s="1194" t="s">
        <v>1033</v>
      </c>
      <c r="B71" s="1195" t="s">
        <v>1489</v>
      </c>
      <c r="C71" s="383">
        <f ca="1">ROUND(C68*10000/F71,0)</f>
        <v>8700</v>
      </c>
      <c r="D71" s="1196" t="s">
        <v>1490</v>
      </c>
      <c r="E71" s="1197" t="s">
        <v>1491</v>
      </c>
      <c r="F71" s="386">
        <f ca="1">F43</f>
        <v>500</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24</v>
      </c>
      <c r="D75" s="1847"/>
      <c r="E75" s="1847"/>
      <c r="F75" s="1847"/>
      <c r="K75" s="1873"/>
      <c r="L75" s="1847"/>
      <c r="O75" s="1889" t="s">
        <v>1046</v>
      </c>
      <c r="P75" s="1890" t="s">
        <v>1551</v>
      </c>
      <c r="Q75" s="1891">
        <f ca="1">Q65+Q66</f>
        <v>2272</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0.86</v>
      </c>
    </row>
    <row r="80" spans="1:18">
      <c r="B80" s="387" t="s">
        <v>1513</v>
      </c>
      <c r="C80" s="319">
        <f ca="1">ROUND(C75/C39,3)</f>
        <v>0.14000000000000001</v>
      </c>
    </row>
    <row r="81" spans="2:3">
      <c r="B81" s="315" t="s">
        <v>1514</v>
      </c>
      <c r="C81" s="283"/>
    </row>
    <row r="82" spans="2:3">
      <c r="B82" s="318" t="s">
        <v>1515</v>
      </c>
      <c r="C82" s="320">
        <f ca="1">1-C83</f>
        <v>0.55000000000000004</v>
      </c>
    </row>
    <row r="83" spans="2:3">
      <c r="B83" s="318" t="s">
        <v>1516</v>
      </c>
      <c r="C83" s="319">
        <f ca="1">ROUND(C13/C40,3)</f>
        <v>0.45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8">
      <c r="A3" s="3110" t="str">
        <f>IF(项目基本情况!B9="房地产市场价值","估价结果一览表（市场价值不需“结果表-1”）","估价结果一览表")</f>
        <v>估价结果一览表</v>
      </c>
      <c r="B3" s="3110"/>
      <c r="C3" s="3110"/>
      <c r="D3" s="3110"/>
      <c r="E3" s="3110"/>
    </row>
    <row r="4" spans="1:5" ht="19.5" thickBot="1">
      <c r="A4" s="1966"/>
      <c r="B4" s="3108" t="s">
        <v>1632</v>
      </c>
      <c r="C4" s="3108"/>
      <c r="D4" s="3108"/>
      <c r="E4" s="1966"/>
    </row>
    <row r="5" spans="1:5" ht="16.5" thickTop="1">
      <c r="A5" s="1964"/>
      <c r="B5" s="3106" t="s">
        <v>1624</v>
      </c>
      <c r="C5" s="1967" t="s">
        <v>1625</v>
      </c>
      <c r="D5" s="1044">
        <f ca="1">结果表!H101</f>
        <v>85442</v>
      </c>
      <c r="E5" s="1964"/>
    </row>
    <row r="6" spans="1:5" ht="15.75">
      <c r="A6" s="1964"/>
      <c r="B6" s="3106"/>
      <c r="C6" s="1967" t="s">
        <v>1626</v>
      </c>
      <c r="D6" s="1044" t="str">
        <f ca="1">NUMBERSTRING(INT(D5*10000),2)&amp;"元整"</f>
        <v>捌亿伍仟肆佰肆拾贰万元整</v>
      </c>
      <c r="E6" s="1964"/>
    </row>
    <row r="7" spans="1:5" ht="15.75">
      <c r="A7" s="1964"/>
      <c r="B7" s="3111"/>
      <c r="C7" s="1968" t="s">
        <v>1627</v>
      </c>
      <c r="D7" s="1045">
        <f ca="1">结果表!H102</f>
        <v>12858</v>
      </c>
      <c r="E7" s="1964"/>
    </row>
    <row r="8" spans="1:5" ht="15.75">
      <c r="A8" s="1964"/>
      <c r="B8" s="3112" t="str">
        <f>结果表!E103</f>
        <v>2.估价师知悉的法定优先受偿款</v>
      </c>
      <c r="C8" s="1969" t="s">
        <v>1628</v>
      </c>
      <c r="D8" s="1045">
        <f>结果表!H103</f>
        <v>0</v>
      </c>
      <c r="E8" s="1964"/>
    </row>
    <row r="9" spans="1:5" ht="15.75">
      <c r="A9" s="1964"/>
      <c r="B9" s="3114"/>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105" t="str">
        <f>结果表!E107</f>
        <v>3.房地产抵押价值</v>
      </c>
      <c r="C13" s="1972" t="s">
        <v>1625</v>
      </c>
      <c r="D13" s="1047">
        <f ca="1">结果表!H107</f>
        <v>85442</v>
      </c>
      <c r="E13" s="1964"/>
    </row>
    <row r="14" spans="1:5" ht="15.75">
      <c r="A14" s="1964"/>
      <c r="B14" s="3106"/>
      <c r="C14" s="1967" t="s">
        <v>1626</v>
      </c>
      <c r="D14" s="1044" t="str">
        <f ca="1">NUMBERSTRING(INT(D13*10000),2)&amp;"元整"</f>
        <v>捌亿伍仟肆佰肆拾贰万元整</v>
      </c>
      <c r="E14" s="1964"/>
    </row>
    <row r="15" spans="1:5" ht="15">
      <c r="A15" s="1964"/>
      <c r="B15" s="3111"/>
      <c r="C15" s="1968" t="s">
        <v>1636</v>
      </c>
      <c r="D15" s="1056">
        <f ca="1">结果表!H108</f>
        <v>12858</v>
      </c>
      <c r="E15" s="1964"/>
    </row>
    <row r="16" spans="1:5" ht="15">
      <c r="A16" s="1964"/>
      <c r="B16" s="3112" t="str">
        <f>结果表!E109</f>
        <v>——</v>
      </c>
      <c r="C16" s="1972" t="s">
        <v>1637</v>
      </c>
      <c r="D16" s="1973" t="str">
        <f>结果表!H109</f>
        <v>——</v>
      </c>
      <c r="E16" s="1964"/>
    </row>
    <row r="17" spans="1:5" ht="15.75">
      <c r="A17" s="1964"/>
      <c r="B17" s="3113"/>
      <c r="C17" s="1967" t="s">
        <v>1638</v>
      </c>
      <c r="D17" s="1044" t="e">
        <f>NUMBERSTRING(INT(D16*10000),2)&amp;"元整"</f>
        <v>#VALUE!</v>
      </c>
      <c r="E17" s="1964"/>
    </row>
    <row r="18" spans="1:5" ht="15">
      <c r="A18" s="1964"/>
      <c r="B18" s="3114"/>
      <c r="C18" s="1968" t="s">
        <v>1627</v>
      </c>
      <c r="D18" s="1056" t="str">
        <f>结果表!H110</f>
        <v>——</v>
      </c>
      <c r="E18" s="1964"/>
    </row>
    <row r="19" spans="1:5" ht="15.75">
      <c r="A19" s="1964"/>
      <c r="B19" s="3105" t="str">
        <f>结果表!E111</f>
        <v>——</v>
      </c>
      <c r="C19" s="1972" t="s">
        <v>1625</v>
      </c>
      <c r="D19" s="1045" t="str">
        <f>结果表!H111</f>
        <v>——</v>
      </c>
      <c r="E19" s="1964"/>
    </row>
    <row r="20" spans="1:5" ht="15.75">
      <c r="A20" s="1964"/>
      <c r="B20" s="3106"/>
      <c r="C20" s="1967" t="s">
        <v>1638</v>
      </c>
      <c r="D20" s="1044" t="e">
        <f>NUMBERSTRING(INT(D19*10000),2)&amp;"元整"</f>
        <v>#VALUE!</v>
      </c>
      <c r="E20" s="1964"/>
    </row>
    <row r="21" spans="1:5" ht="15.75" thickBot="1">
      <c r="A21" s="1964"/>
      <c r="B21" s="3107"/>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4" t="s">
        <v>2526</v>
      </c>
      <c r="B1" s="2565"/>
      <c r="C1" s="2565"/>
      <c r="D1" s="2565"/>
      <c r="E1" s="2566"/>
    </row>
    <row r="2" spans="1:6" ht="15.75">
      <c r="A2" s="2567" t="s">
        <v>2330</v>
      </c>
      <c r="B2" s="2568">
        <f ca="1">SUMIF(B6:B13,"&lt;&gt;#ref!",B6:B13)</f>
        <v>366842</v>
      </c>
      <c r="C2" s="2569" t="s">
        <v>2519</v>
      </c>
      <c r="D2" s="2570" t="s">
        <v>2520</v>
      </c>
      <c r="E2" s="2571">
        <f>SUM(E6:E13)</f>
        <v>66448.330000000016</v>
      </c>
    </row>
    <row r="3" spans="1:6" ht="15.75">
      <c r="A3" s="2567" t="s">
        <v>1396</v>
      </c>
      <c r="B3" s="2568">
        <f ca="1">ROUND(B2*10000/E2,0)</f>
        <v>55207</v>
      </c>
      <c r="C3" s="2569" t="s">
        <v>2527</v>
      </c>
      <c r="D3" s="2572"/>
      <c r="E3" s="2573"/>
    </row>
    <row r="4" spans="1:6" ht="15.75">
      <c r="A4" s="2574"/>
      <c r="B4" s="2572"/>
      <c r="C4" s="2572"/>
      <c r="D4" s="2572"/>
      <c r="E4" s="2573"/>
    </row>
    <row r="5" spans="1:6" ht="15">
      <c r="A5" s="2575" t="s">
        <v>2521</v>
      </c>
      <c r="B5" s="3387" t="s">
        <v>2522</v>
      </c>
      <c r="C5" s="3387"/>
      <c r="D5" s="2576"/>
      <c r="E5" s="2577" t="s">
        <v>2523</v>
      </c>
      <c r="F5" s="2578" t="s">
        <v>2524</v>
      </c>
    </row>
    <row r="6" spans="1:6">
      <c r="A6" s="2579" t="str">
        <f>'数据-取费表'!AN6</f>
        <v>收益法-办公已租</v>
      </c>
      <c r="B6" s="2578">
        <f ca="1">IF(F6="是",'数据-取费表'!AO6,0)</f>
        <v>211405</v>
      </c>
      <c r="C6" s="2569" t="s">
        <v>2519</v>
      </c>
      <c r="D6" s="2572"/>
      <c r="E6" s="2580">
        <f>IF(OR(A6=0,F6="否"),0,'数据-取费表'!K6+'数据-取费表'!S6)</f>
        <v>37501.99</v>
      </c>
      <c r="F6" s="2581" t="s">
        <v>2525</v>
      </c>
    </row>
    <row r="7" spans="1:6">
      <c r="A7" s="2579" t="str">
        <f>'数据-取费表'!AN7</f>
        <v>收益法-办公未租</v>
      </c>
      <c r="B7" s="2578">
        <f ca="1">IF(F7="是",'数据-取费表'!AO7,0)</f>
        <v>142274</v>
      </c>
      <c r="C7" s="2569" t="s">
        <v>2519</v>
      </c>
      <c r="D7" s="2572"/>
      <c r="E7" s="2580">
        <f>IF(OR(A7=0,F7="否"),0,'数据-取费表'!K7+'数据-取费表'!S7)</f>
        <v>25804.750000000022</v>
      </c>
      <c r="F7" s="2581" t="s">
        <v>2525</v>
      </c>
    </row>
    <row r="8" spans="1:6">
      <c r="A8" s="2579" t="str">
        <f>'数据-取费表'!AN8</f>
        <v>收益法-商业已租</v>
      </c>
      <c r="B8" s="2578">
        <f ca="1">IF(F8="是",'数据-取费表'!AO8,0)</f>
        <v>2272</v>
      </c>
      <c r="C8" s="2569" t="s">
        <v>2519</v>
      </c>
      <c r="D8" s="2572"/>
      <c r="E8" s="2580">
        <f>IF(OR(A8=0,F8="否"),0,'数据-取费表'!K8+'数据-取费表'!S8)</f>
        <v>500</v>
      </c>
      <c r="F8" s="2581" t="s">
        <v>2525</v>
      </c>
    </row>
    <row r="9" spans="1:6">
      <c r="A9" s="2579" t="str">
        <f>'数据-取费表'!AN9</f>
        <v>收益法-未租商业</v>
      </c>
      <c r="B9" s="2578">
        <f ca="1">IF(F9="是",'数据-取费表'!AO9,0)</f>
        <v>10891</v>
      </c>
      <c r="C9" s="2569" t="s">
        <v>2519</v>
      </c>
      <c r="D9" s="2572"/>
      <c r="E9" s="2580">
        <f>IF(OR(A9=0,F9="否"),0,'数据-取费表'!K9+'数据-取费表'!S9)</f>
        <v>2641.59</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04" t="s">
        <v>1076</v>
      </c>
      <c r="B1" s="3405"/>
      <c r="C1" s="3406"/>
      <c r="D1" s="3407">
        <f>SUM(I10,I15,I20,I21,I23)</f>
        <v>0</v>
      </c>
      <c r="E1" s="3407"/>
      <c r="F1" s="3407"/>
      <c r="G1" s="3407"/>
      <c r="H1" s="3407"/>
      <c r="I1" s="3408"/>
    </row>
    <row r="2" spans="1:9">
      <c r="A2" s="3394" t="s">
        <v>1077</v>
      </c>
      <c r="B2" s="3395" t="s">
        <v>1078</v>
      </c>
      <c r="C2" s="3395"/>
      <c r="D2" s="1305" t="s">
        <v>1079</v>
      </c>
      <c r="E2" s="1305" t="s">
        <v>1080</v>
      </c>
      <c r="F2" s="1305" t="s">
        <v>1081</v>
      </c>
      <c r="G2" s="1305" t="s">
        <v>1082</v>
      </c>
      <c r="H2" s="1305" t="s">
        <v>1083</v>
      </c>
      <c r="I2" s="1306" t="s">
        <v>1084</v>
      </c>
    </row>
    <row r="3" spans="1:9">
      <c r="A3" s="3394"/>
      <c r="B3" s="3395" t="s">
        <v>1085</v>
      </c>
      <c r="C3" s="3395"/>
      <c r="D3" s="1307"/>
      <c r="E3" s="1305"/>
      <c r="F3" s="1308"/>
      <c r="G3" s="1308"/>
      <c r="H3" s="1309"/>
      <c r="I3" s="1310">
        <f>ROUND(D3*E3*F3*G3*H3/10000,0)</f>
        <v>0</v>
      </c>
    </row>
    <row r="4" spans="1:9">
      <c r="A4" s="3394"/>
      <c r="B4" s="3395" t="s">
        <v>1086</v>
      </c>
      <c r="C4" s="3395"/>
      <c r="D4" s="1307"/>
      <c r="E4" s="1305"/>
      <c r="F4" s="1308"/>
      <c r="G4" s="1308"/>
      <c r="H4" s="1309"/>
      <c r="I4" s="1310">
        <f t="shared" ref="I4:I9" si="0">ROUND(D4*E4*F4*G4*H4/10000,0)</f>
        <v>0</v>
      </c>
    </row>
    <row r="5" spans="1:9">
      <c r="A5" s="3394"/>
      <c r="B5" s="3395" t="s">
        <v>1087</v>
      </c>
      <c r="C5" s="3395"/>
      <c r="D5" s="1307"/>
      <c r="E5" s="1305"/>
      <c r="F5" s="1308"/>
      <c r="G5" s="1308"/>
      <c r="H5" s="1309"/>
      <c r="I5" s="1310">
        <f t="shared" si="0"/>
        <v>0</v>
      </c>
    </row>
    <row r="6" spans="1:9">
      <c r="A6" s="3394"/>
      <c r="B6" s="3395" t="s">
        <v>1088</v>
      </c>
      <c r="C6" s="3395"/>
      <c r="D6" s="1307"/>
      <c r="E6" s="1305"/>
      <c r="F6" s="1308"/>
      <c r="G6" s="1308"/>
      <c r="H6" s="1309"/>
      <c r="I6" s="1310">
        <f t="shared" si="0"/>
        <v>0</v>
      </c>
    </row>
    <row r="7" spans="1:9">
      <c r="A7" s="3394"/>
      <c r="B7" s="3395" t="s">
        <v>1089</v>
      </c>
      <c r="C7" s="3395"/>
      <c r="D7" s="1307"/>
      <c r="E7" s="1305"/>
      <c r="F7" s="1308"/>
      <c r="G7" s="1308"/>
      <c r="H7" s="1309"/>
      <c r="I7" s="1310">
        <f t="shared" si="0"/>
        <v>0</v>
      </c>
    </row>
    <row r="8" spans="1:9">
      <c r="A8" s="3394"/>
      <c r="B8" s="3395" t="s">
        <v>1090</v>
      </c>
      <c r="C8" s="3395"/>
      <c r="D8" s="1307"/>
      <c r="E8" s="1305"/>
      <c r="F8" s="1308"/>
      <c r="G8" s="1308"/>
      <c r="H8" s="1309"/>
      <c r="I8" s="1310">
        <f t="shared" si="0"/>
        <v>0</v>
      </c>
    </row>
    <row r="9" spans="1:9">
      <c r="A9" s="3394"/>
      <c r="B9" s="3395" t="s">
        <v>1091</v>
      </c>
      <c r="C9" s="3395"/>
      <c r="D9" s="1307"/>
      <c r="E9" s="1305"/>
      <c r="F9" s="1308"/>
      <c r="G9" s="1308"/>
      <c r="H9" s="1309"/>
      <c r="I9" s="1310">
        <f t="shared" si="0"/>
        <v>0</v>
      </c>
    </row>
    <row r="10" spans="1:9">
      <c r="A10" s="3394"/>
      <c r="B10" s="3396" t="s">
        <v>1092</v>
      </c>
      <c r="C10" s="3396"/>
      <c r="D10" s="1311"/>
      <c r="E10" s="1311" t="e">
        <f>ROUND(D1*10000/D10/H9,0)</f>
        <v>#DIV/0!</v>
      </c>
      <c r="F10" s="1312"/>
      <c r="G10" s="1312"/>
      <c r="H10" s="1313"/>
      <c r="I10" s="1314">
        <f>SUM(I3:I9)</f>
        <v>0</v>
      </c>
    </row>
    <row r="11" spans="1:9" ht="14.25">
      <c r="A11" s="3394" t="s">
        <v>1093</v>
      </c>
      <c r="B11" s="3395" t="s">
        <v>1094</v>
      </c>
      <c r="C11" s="3395"/>
      <c r="D11" s="1307" t="s">
        <v>1095</v>
      </c>
      <c r="E11" s="1307" t="s">
        <v>1096</v>
      </c>
      <c r="F11" s="1308" t="s">
        <v>1097</v>
      </c>
      <c r="G11" s="1308" t="s">
        <v>1083</v>
      </c>
      <c r="H11" s="1315" t="s">
        <v>1098</v>
      </c>
      <c r="I11" s="1306" t="s">
        <v>1084</v>
      </c>
    </row>
    <row r="12" spans="1:9">
      <c r="A12" s="3394"/>
      <c r="B12" s="3395" t="s">
        <v>1099</v>
      </c>
      <c r="C12" s="3395"/>
      <c r="D12" s="1307"/>
      <c r="E12" s="1307"/>
      <c r="F12" s="1308"/>
      <c r="G12" s="1309"/>
      <c r="H12" s="1316"/>
      <c r="I12" s="1306">
        <f>ROUND(D12*E12*F12*G12/10000,0)</f>
        <v>0</v>
      </c>
    </row>
    <row r="13" spans="1:9">
      <c r="A13" s="3394"/>
      <c r="B13" s="3395" t="s">
        <v>1100</v>
      </c>
      <c r="C13" s="3395"/>
      <c r="D13" s="1307"/>
      <c r="E13" s="1307"/>
      <c r="F13" s="1308"/>
      <c r="G13" s="1309"/>
      <c r="H13" s="1316"/>
      <c r="I13" s="1306">
        <f>ROUND(D13*E13*F13*G13/10000,0)</f>
        <v>0</v>
      </c>
    </row>
    <row r="14" spans="1:9">
      <c r="A14" s="3394"/>
      <c r="B14" s="3395" t="s">
        <v>1101</v>
      </c>
      <c r="C14" s="3395"/>
      <c r="D14" s="1307"/>
      <c r="E14" s="1307"/>
      <c r="F14" s="1308"/>
      <c r="G14" s="1309"/>
      <c r="H14" s="1316"/>
      <c r="I14" s="1306">
        <f>ROUND(D14*E14*F14*G14/10000,0)</f>
        <v>0</v>
      </c>
    </row>
    <row r="15" spans="1:9">
      <c r="A15" s="3394"/>
      <c r="B15" s="3396" t="s">
        <v>1092</v>
      </c>
      <c r="C15" s="3396"/>
      <c r="D15" s="1311"/>
      <c r="E15" s="1311">
        <f>SUM(E12:E14)</f>
        <v>0</v>
      </c>
      <c r="F15" s="1312"/>
      <c r="G15" s="1309"/>
      <c r="H15" s="1316"/>
      <c r="I15" s="1317">
        <f>SUM(I12:I14)</f>
        <v>0</v>
      </c>
    </row>
    <row r="16" spans="1:9" ht="24">
      <c r="A16" s="3394" t="s">
        <v>1102</v>
      </c>
      <c r="B16" s="3395" t="s">
        <v>1103</v>
      </c>
      <c r="C16" s="3395"/>
      <c r="D16" s="1307" t="s">
        <v>1079</v>
      </c>
      <c r="E16" s="1318" t="s">
        <v>1104</v>
      </c>
      <c r="F16" s="1308" t="s">
        <v>1105</v>
      </c>
      <c r="G16" s="1309" t="s">
        <v>1083</v>
      </c>
      <c r="H16" s="1315" t="s">
        <v>1098</v>
      </c>
      <c r="I16" s="1306" t="s">
        <v>1084</v>
      </c>
    </row>
    <row r="17" spans="1:9" ht="14.25">
      <c r="A17" s="3394"/>
      <c r="B17" s="3395" t="s">
        <v>1106</v>
      </c>
      <c r="C17" s="3395"/>
      <c r="D17" s="1307"/>
      <c r="E17" s="1307"/>
      <c r="F17" s="1308"/>
      <c r="G17" s="1309"/>
      <c r="H17" s="1319"/>
      <c r="I17" s="1320">
        <f>ROUND(D17*E17*F17*G17/10000,0)</f>
        <v>0</v>
      </c>
    </row>
    <row r="18" spans="1:9" ht="14.25">
      <c r="A18" s="3394"/>
      <c r="B18" s="3395" t="s">
        <v>1107</v>
      </c>
      <c r="C18" s="3395"/>
      <c r="D18" s="1307"/>
      <c r="E18" s="1307"/>
      <c r="F18" s="1308"/>
      <c r="G18" s="1309"/>
      <c r="H18" s="1319"/>
      <c r="I18" s="1320">
        <f>ROUND(D18*E18*F18*G18/10000,0)</f>
        <v>0</v>
      </c>
    </row>
    <row r="19" spans="1:9" ht="14.25">
      <c r="A19" s="3394"/>
      <c r="B19" s="3395" t="s">
        <v>1108</v>
      </c>
      <c r="C19" s="3395"/>
      <c r="D19" s="1307"/>
      <c r="E19" s="1307"/>
      <c r="F19" s="1308"/>
      <c r="G19" s="1309"/>
      <c r="H19" s="1319"/>
      <c r="I19" s="1320">
        <f>ROUND(D19*E19*F19*G19/10000,0)</f>
        <v>0</v>
      </c>
    </row>
    <row r="20" spans="1:9">
      <c r="A20" s="3394"/>
      <c r="B20" s="3396" t="s">
        <v>1092</v>
      </c>
      <c r="C20" s="3396"/>
      <c r="D20" s="1311">
        <f>SUM(D17:D19)</f>
        <v>0</v>
      </c>
      <c r="E20" s="1311"/>
      <c r="F20" s="1312"/>
      <c r="G20" s="1309"/>
      <c r="H20" s="1316"/>
      <c r="I20" s="1317">
        <f>SUM(I17:I19)</f>
        <v>0</v>
      </c>
    </row>
    <row r="21" spans="1:9">
      <c r="A21" s="3394" t="s">
        <v>1109</v>
      </c>
      <c r="B21" s="3397"/>
      <c r="C21" s="3397"/>
      <c r="D21" s="3397"/>
      <c r="E21" s="3397"/>
      <c r="F21" s="3397"/>
      <c r="G21" s="3397"/>
      <c r="H21" s="1770">
        <v>0.1</v>
      </c>
      <c r="I21" s="1314">
        <f>ROUND(I10*H21,0)</f>
        <v>0</v>
      </c>
    </row>
    <row r="22" spans="1:9" ht="14.25">
      <c r="A22" s="3398" t="s">
        <v>1110</v>
      </c>
      <c r="B22" s="3399"/>
      <c r="C22" s="3400"/>
      <c r="D22" s="1321" t="s">
        <v>1111</v>
      </c>
      <c r="E22" s="1321" t="s">
        <v>1112</v>
      </c>
      <c r="F22" s="1322" t="s">
        <v>1113</v>
      </c>
      <c r="G22" s="1322" t="s">
        <v>1114</v>
      </c>
      <c r="H22" s="1315" t="s">
        <v>1115</v>
      </c>
      <c r="I22" s="1306" t="s">
        <v>1116</v>
      </c>
    </row>
    <row r="23" spans="1:9" ht="14.25" thickBot="1">
      <c r="A23" s="3401"/>
      <c r="B23" s="3402"/>
      <c r="C23" s="3403"/>
      <c r="D23" s="1323"/>
      <c r="E23" s="1323"/>
      <c r="F23" s="1323"/>
      <c r="G23" s="1324"/>
      <c r="H23" s="1325"/>
      <c r="I23" s="1326">
        <f>ROUND(E23*D23*F23*(1-G23)/10000,0)</f>
        <v>0</v>
      </c>
    </row>
    <row r="26" spans="1:9">
      <c r="A26" s="1327" t="s">
        <v>1117</v>
      </c>
      <c r="B26" s="1327"/>
      <c r="C26" s="1327"/>
      <c r="D26" s="1327"/>
      <c r="E26" s="3391">
        <f>C27-C30-C31-C32</f>
        <v>0</v>
      </c>
      <c r="F26" s="3391"/>
      <c r="G26" s="3391"/>
      <c r="H26" s="1742" t="s">
        <v>1341</v>
      </c>
    </row>
    <row r="27" spans="1:9">
      <c r="A27" s="1328">
        <v>1</v>
      </c>
      <c r="B27" s="1329" t="s">
        <v>1118</v>
      </c>
      <c r="C27" s="1329">
        <f>C28+C29</f>
        <v>0</v>
      </c>
      <c r="D27" s="1329"/>
      <c r="E27" s="3392"/>
      <c r="F27" s="3392"/>
      <c r="G27" s="3392"/>
    </row>
    <row r="28" spans="1:9">
      <c r="A28" s="1330" t="s">
        <v>1119</v>
      </c>
      <c r="B28" s="1329" t="s">
        <v>1120</v>
      </c>
      <c r="C28" s="1329"/>
      <c r="D28" s="1329"/>
      <c r="E28" s="3392"/>
      <c r="F28" s="3392"/>
      <c r="G28" s="3392"/>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93"/>
      <c r="F32" s="3393"/>
      <c r="G32" s="3393"/>
    </row>
    <row r="33" spans="1:7" hidden="1">
      <c r="A33" s="3388" t="s">
        <v>1129</v>
      </c>
      <c r="B33" s="3389"/>
      <c r="C33" s="3389"/>
      <c r="D33" s="3390"/>
      <c r="E33" s="3391"/>
      <c r="F33" s="3391"/>
      <c r="G33" s="3391"/>
    </row>
    <row r="34" spans="1:7" hidden="1">
      <c r="A34" s="1332">
        <v>1</v>
      </c>
      <c r="B34" s="1329" t="s">
        <v>1130</v>
      </c>
      <c r="C34" s="1329"/>
      <c r="D34" s="1329"/>
      <c r="E34" s="3392"/>
      <c r="F34" s="3392"/>
      <c r="G34" s="3392"/>
    </row>
    <row r="35" spans="1:7" hidden="1">
      <c r="A35" s="1332">
        <v>2</v>
      </c>
      <c r="B35" s="1329" t="s">
        <v>1131</v>
      </c>
      <c r="C35" s="1329"/>
      <c r="D35" s="1329"/>
      <c r="E35" s="3392"/>
      <c r="F35" s="3392"/>
      <c r="G35" s="3392"/>
    </row>
    <row r="36" spans="1:7" hidden="1">
      <c r="A36" s="1332">
        <v>3</v>
      </c>
      <c r="B36" s="1329" t="s">
        <v>1132</v>
      </c>
      <c r="C36" s="1329"/>
      <c r="D36" s="1329"/>
      <c r="E36" s="3392"/>
      <c r="F36" s="3392"/>
      <c r="G36" s="3392"/>
    </row>
    <row r="37" spans="1:7" hidden="1">
      <c r="A37" s="1332">
        <v>4</v>
      </c>
      <c r="B37" s="1329" t="s">
        <v>1133</v>
      </c>
      <c r="C37" s="1329"/>
      <c r="D37" s="1329"/>
      <c r="E37" s="3392"/>
      <c r="F37" s="3392"/>
      <c r="G37" s="3392"/>
    </row>
    <row r="38" spans="1:7" hidden="1">
      <c r="A38" s="3388" t="s">
        <v>1134</v>
      </c>
      <c r="B38" s="3389"/>
      <c r="C38" s="3389"/>
      <c r="D38" s="3390"/>
      <c r="E38" s="3391"/>
      <c r="F38" s="3391"/>
      <c r="G38" s="33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2529</v>
      </c>
      <c r="C1" s="1639" t="s">
        <v>2530</v>
      </c>
      <c r="D1" s="1626"/>
      <c r="E1" s="2586"/>
      <c r="F1" s="2587" t="s">
        <v>2531</v>
      </c>
      <c r="G1" s="1636" t="s">
        <v>2532</v>
      </c>
      <c r="H1" s="1635"/>
      <c r="I1" s="1635"/>
      <c r="J1" s="1635"/>
      <c r="K1" s="1637"/>
      <c r="L1" s="1638"/>
      <c r="M1" s="1639"/>
      <c r="N1" s="1639"/>
      <c r="O1" s="1639"/>
      <c r="P1" s="2588"/>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9"/>
      <c r="D2" s="1369" t="e">
        <f ca="1">SUMIF(INDIRECT("'"&amp;F2&amp;"'"&amp;"!A:A"),"承租人权益价值",INDIRECT("'"&amp;F2&amp;"'"&amp;"!c:c"))</f>
        <v>#REF!</v>
      </c>
      <c r="E2" s="2590" t="s">
        <v>2533</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2534</v>
      </c>
      <c r="D3" s="400">
        <f>IF(D1="",'数据-汇总表'!E3,SUMIF('数据-汇总表'!$C19:$C33,D1,'数据-汇总表'!$E19:$E33))</f>
        <v>66448.330000000016</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2535</v>
      </c>
      <c r="B4" s="403"/>
      <c r="C4" s="3331" t="s">
        <v>2536</v>
      </c>
      <c r="D4" s="3332"/>
      <c r="E4" s="3333" t="s">
        <v>2537</v>
      </c>
      <c r="F4" s="3334"/>
      <c r="G4" s="3331" t="s">
        <v>2538</v>
      </c>
      <c r="H4" s="3332"/>
      <c r="I4" s="3331" t="s">
        <v>2539</v>
      </c>
      <c r="J4" s="3332"/>
      <c r="K4" s="2599" t="s">
        <v>2540</v>
      </c>
      <c r="L4" s="1134"/>
      <c r="M4" s="1135"/>
      <c r="N4" s="1135"/>
      <c r="O4" s="1135"/>
      <c r="P4" s="3381" t="s">
        <v>2541</v>
      </c>
      <c r="Q4" s="3382"/>
      <c r="R4" s="3385" t="s">
        <v>2537</v>
      </c>
      <c r="S4" s="3386"/>
      <c r="T4" s="3385" t="s">
        <v>2538</v>
      </c>
      <c r="U4" s="3386"/>
      <c r="V4" s="3348" t="s">
        <v>2539</v>
      </c>
      <c r="W4" s="3348"/>
      <c r="X4" s="1818"/>
      <c r="Y4" s="3385" t="s">
        <v>2541</v>
      </c>
      <c r="Z4" s="3386"/>
      <c r="AA4" s="3380" t="s">
        <v>2537</v>
      </c>
      <c r="AB4" s="3380" t="s">
        <v>2538</v>
      </c>
      <c r="AC4" s="3380" t="s">
        <v>2539</v>
      </c>
    </row>
    <row r="5" spans="1:29" ht="15">
      <c r="A5" s="405"/>
      <c r="B5" s="406"/>
      <c r="C5" s="3351" t="s">
        <v>2542</v>
      </c>
      <c r="D5" s="3352"/>
      <c r="E5" s="3362" t="s">
        <v>2543</v>
      </c>
      <c r="F5" s="3363"/>
      <c r="G5" s="3351" t="s">
        <v>2544</v>
      </c>
      <c r="H5" s="3352"/>
      <c r="I5" s="3351" t="s">
        <v>2545</v>
      </c>
      <c r="J5" s="3352"/>
      <c r="K5" s="2600"/>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349" t="s">
        <v>2546</v>
      </c>
      <c r="D6" s="3350"/>
      <c r="E6" s="3357" t="s">
        <v>2546</v>
      </c>
      <c r="F6" s="3358"/>
      <c r="G6" s="3349" t="s">
        <v>2546</v>
      </c>
      <c r="H6" s="3350"/>
      <c r="I6" s="3349" t="s">
        <v>2546</v>
      </c>
      <c r="J6" s="3350"/>
      <c r="K6" s="2600"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355" t="s">
        <v>2549</v>
      </c>
      <c r="Q7" s="3356"/>
      <c r="R7" s="771" t="s">
        <v>23</v>
      </c>
      <c r="S7" s="772">
        <f t="shared" ref="S7:S15" si="0">F7</f>
        <v>0</v>
      </c>
      <c r="T7" s="771" t="s">
        <v>23</v>
      </c>
      <c r="U7" s="772">
        <f t="shared" ref="U7:U15" si="1">H7</f>
        <v>0</v>
      </c>
      <c r="V7" s="771" t="s">
        <v>23</v>
      </c>
      <c r="W7" s="772">
        <f t="shared" ref="W7:W15" si="2">J7</f>
        <v>0</v>
      </c>
      <c r="X7" s="773"/>
      <c r="Y7" s="3355" t="s">
        <v>2549</v>
      </c>
      <c r="Z7" s="3354"/>
      <c r="AA7" s="774" t="e">
        <f>D7/F7</f>
        <v>#DIV/0!</v>
      </c>
      <c r="AB7" s="774" t="e">
        <f>D7/H7</f>
        <v>#DIV/0!</v>
      </c>
      <c r="AC7" s="774" t="e">
        <f>D7/J7</f>
        <v>#DIV/0!</v>
      </c>
    </row>
    <row r="8" spans="1:29" s="117" customFormat="1" ht="15.75" thickBot="1">
      <c r="A8" s="409" t="s">
        <v>2550</v>
      </c>
      <c r="B8" s="410"/>
      <c r="C8" s="415" t="s">
        <v>2551</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355" t="s">
        <v>2552</v>
      </c>
      <c r="Q8" s="3354"/>
      <c r="R8" s="771" t="s">
        <v>23</v>
      </c>
      <c r="S8" s="772">
        <f t="shared" si="0"/>
        <v>0</v>
      </c>
      <c r="T8" s="771" t="s">
        <v>23</v>
      </c>
      <c r="U8" s="772">
        <f t="shared" si="1"/>
        <v>0</v>
      </c>
      <c r="V8" s="771" t="s">
        <v>23</v>
      </c>
      <c r="W8" s="772">
        <f t="shared" si="2"/>
        <v>0</v>
      </c>
      <c r="X8" s="773"/>
      <c r="Y8" s="3355" t="s">
        <v>2552</v>
      </c>
      <c r="Z8" s="3354"/>
      <c r="AA8" s="774" t="e">
        <f t="shared" ref="AA8:AA19" si="3">D8/F8</f>
        <v>#DIV/0!</v>
      </c>
      <c r="AB8" s="774" t="e">
        <f t="shared" ref="AB8:AB19" si="4">D8/H8</f>
        <v>#DIV/0!</v>
      </c>
      <c r="AC8" s="774"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313"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313"/>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313"/>
      <c r="Q11" s="1800" t="str">
        <f t="shared" si="6"/>
        <v>容积率</v>
      </c>
      <c r="R11" s="771" t="s">
        <v>21</v>
      </c>
      <c r="S11" s="772" t="e">
        <f t="shared" si="0"/>
        <v>#N/A</v>
      </c>
      <c r="T11" s="771" t="s">
        <v>21</v>
      </c>
      <c r="U11" s="772" t="e">
        <f t="shared" si="1"/>
        <v>#N/A</v>
      </c>
      <c r="V11" s="771" t="s">
        <v>21</v>
      </c>
      <c r="W11" s="772" t="e">
        <f t="shared" si="2"/>
        <v>#N/A</v>
      </c>
      <c r="X11" s="773"/>
      <c r="Y11" s="3148"/>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313"/>
      <c r="Q12" s="1800">
        <f t="shared" si="6"/>
        <v>111</v>
      </c>
      <c r="R12" s="771" t="s">
        <v>21</v>
      </c>
      <c r="S12" s="772">
        <f t="shared" si="0"/>
        <v>100</v>
      </c>
      <c r="T12" s="771" t="s">
        <v>21</v>
      </c>
      <c r="U12" s="772">
        <f t="shared" si="1"/>
        <v>100</v>
      </c>
      <c r="V12" s="771" t="s">
        <v>21</v>
      </c>
      <c r="W12" s="772">
        <f t="shared" si="2"/>
        <v>100</v>
      </c>
      <c r="X12" s="773"/>
      <c r="Y12" s="3148"/>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313"/>
      <c r="Q13" s="1800">
        <f t="shared" si="6"/>
        <v>111</v>
      </c>
      <c r="R13" s="771" t="s">
        <v>21</v>
      </c>
      <c r="S13" s="772">
        <f t="shared" si="0"/>
        <v>100</v>
      </c>
      <c r="T13" s="771" t="s">
        <v>21</v>
      </c>
      <c r="U13" s="772">
        <f t="shared" si="1"/>
        <v>100</v>
      </c>
      <c r="V13" s="771" t="s">
        <v>21</v>
      </c>
      <c r="W13" s="772">
        <f t="shared" si="2"/>
        <v>100</v>
      </c>
      <c r="X13" s="773"/>
      <c r="Y13" s="3148"/>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313"/>
      <c r="Q14" s="1800">
        <f t="shared" si="6"/>
        <v>111</v>
      </c>
      <c r="R14" s="771" t="s">
        <v>21</v>
      </c>
      <c r="S14" s="772">
        <f t="shared" si="0"/>
        <v>100</v>
      </c>
      <c r="T14" s="771" t="s">
        <v>21</v>
      </c>
      <c r="U14" s="772">
        <f t="shared" si="1"/>
        <v>100</v>
      </c>
      <c r="V14" s="771" t="s">
        <v>21</v>
      </c>
      <c r="W14" s="772">
        <f t="shared" si="2"/>
        <v>100</v>
      </c>
      <c r="X14" s="773"/>
      <c r="Y14" s="3148"/>
      <c r="Z14" s="55">
        <f t="shared" si="7"/>
        <v>111</v>
      </c>
      <c r="AA14" s="774">
        <f t="shared" si="3"/>
        <v>1</v>
      </c>
      <c r="AB14" s="774">
        <f t="shared" si="4"/>
        <v>1</v>
      </c>
      <c r="AC14" s="774">
        <f t="shared" si="5"/>
        <v>1</v>
      </c>
    </row>
    <row r="15" spans="1:29" ht="99.75">
      <c r="A15" s="441" t="s">
        <v>2559</v>
      </c>
      <c r="B15" s="69" t="s">
        <v>2086</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319" t="s">
        <v>2560</v>
      </c>
      <c r="Q15" s="1815" t="str">
        <f t="shared" si="6"/>
        <v>居住社区成熟度</v>
      </c>
      <c r="R15" s="775" t="s">
        <v>21</v>
      </c>
      <c r="S15" s="776">
        <f t="shared" si="0"/>
        <v>100</v>
      </c>
      <c r="T15" s="775" t="s">
        <v>21</v>
      </c>
      <c r="U15" s="776">
        <f t="shared" si="1"/>
        <v>100</v>
      </c>
      <c r="V15" s="775" t="s">
        <v>21</v>
      </c>
      <c r="W15" s="776">
        <f t="shared" si="2"/>
        <v>100</v>
      </c>
      <c r="X15" s="1818"/>
      <c r="Y15" s="3321" t="s">
        <v>2560</v>
      </c>
      <c r="Z15" s="1819" t="str">
        <f t="shared" si="7"/>
        <v>居住社区成熟度</v>
      </c>
      <c r="AA15" s="1816">
        <f t="shared" si="3"/>
        <v>1</v>
      </c>
      <c r="AB15" s="1816">
        <f t="shared" si="4"/>
        <v>1</v>
      </c>
      <c r="AC15" s="1816">
        <f t="shared" si="5"/>
        <v>1</v>
      </c>
    </row>
    <row r="16" spans="1:29" ht="15">
      <c r="A16" s="429"/>
      <c r="B16" s="447"/>
      <c r="C16" s="448"/>
      <c r="D16" s="449"/>
      <c r="E16" s="2607"/>
      <c r="F16" s="449"/>
      <c r="G16" s="2608"/>
      <c r="H16" s="451"/>
      <c r="I16" s="2608"/>
      <c r="J16" s="449"/>
      <c r="K16" s="2609"/>
      <c r="L16" s="1144"/>
      <c r="M16" s="1135"/>
      <c r="N16" s="1135"/>
      <c r="O16" s="1135"/>
      <c r="P16" s="3320"/>
      <c r="Q16" s="1815"/>
      <c r="R16" s="775"/>
      <c r="S16" s="776"/>
      <c r="T16" s="775"/>
      <c r="U16" s="776"/>
      <c r="V16" s="775"/>
      <c r="W16" s="776"/>
      <c r="X16" s="1818"/>
      <c r="Y16" s="3322"/>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320"/>
      <c r="Q17" s="1815" t="str">
        <f>B17</f>
        <v>交通便捷度</v>
      </c>
      <c r="R17" s="775" t="s">
        <v>21</v>
      </c>
      <c r="S17" s="776">
        <f>F17</f>
        <v>100</v>
      </c>
      <c r="T17" s="775" t="s">
        <v>21</v>
      </c>
      <c r="U17" s="776">
        <f>H17</f>
        <v>100</v>
      </c>
      <c r="V17" s="775" t="s">
        <v>21</v>
      </c>
      <c r="W17" s="776">
        <f>J17</f>
        <v>100</v>
      </c>
      <c r="X17" s="1818"/>
      <c r="Y17" s="3322"/>
      <c r="Z17" s="1819" t="str">
        <f>Q17</f>
        <v>交通便捷度</v>
      </c>
      <c r="AA17" s="1816">
        <f t="shared" si="3"/>
        <v>1</v>
      </c>
      <c r="AB17" s="1816">
        <f t="shared" si="4"/>
        <v>1</v>
      </c>
      <c r="AC17" s="1816">
        <f t="shared" si="5"/>
        <v>1</v>
      </c>
    </row>
    <row r="18" spans="1:29" ht="15">
      <c r="A18" s="429"/>
      <c r="B18" s="457"/>
      <c r="C18" s="2611"/>
      <c r="D18" s="451"/>
      <c r="E18" s="2612"/>
      <c r="F18" s="451"/>
      <c r="G18" s="2613"/>
      <c r="H18" s="449"/>
      <c r="I18" s="2613"/>
      <c r="J18" s="449"/>
      <c r="K18" s="2609"/>
      <c r="L18" s="1144"/>
      <c r="M18" s="1135"/>
      <c r="N18" s="1135"/>
      <c r="O18" s="1135"/>
      <c r="P18" s="3320"/>
      <c r="Q18" s="1815"/>
      <c r="R18" s="775"/>
      <c r="S18" s="776"/>
      <c r="T18" s="775"/>
      <c r="U18" s="776"/>
      <c r="V18" s="775"/>
      <c r="W18" s="776"/>
      <c r="X18" s="1818"/>
      <c r="Y18" s="3322"/>
      <c r="Z18" s="1819"/>
      <c r="AA18" s="1816">
        <v>1</v>
      </c>
      <c r="AB18" s="1816">
        <v>1</v>
      </c>
      <c r="AC18" s="1816">
        <v>1</v>
      </c>
    </row>
    <row r="19" spans="1:29" ht="42.75">
      <c r="A19" s="429"/>
      <c r="B19" s="452" t="s">
        <v>2096</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320"/>
      <c r="Q19" s="1815" t="str">
        <f>B19</f>
        <v>公共配套设施</v>
      </c>
      <c r="R19" s="775" t="s">
        <v>21</v>
      </c>
      <c r="S19" s="776">
        <f>F19</f>
        <v>100</v>
      </c>
      <c r="T19" s="775" t="s">
        <v>21</v>
      </c>
      <c r="U19" s="776">
        <f>H19</f>
        <v>100</v>
      </c>
      <c r="V19" s="775" t="s">
        <v>21</v>
      </c>
      <c r="W19" s="776">
        <f>J19</f>
        <v>100</v>
      </c>
      <c r="X19" s="1818"/>
      <c r="Y19" s="3322"/>
      <c r="Z19" s="1819" t="str">
        <f>Q19</f>
        <v>公共配套设施</v>
      </c>
      <c r="AA19" s="1816">
        <f t="shared" si="3"/>
        <v>1</v>
      </c>
      <c r="AB19" s="1816">
        <f t="shared" si="4"/>
        <v>1</v>
      </c>
      <c r="AC19" s="1816">
        <f t="shared" si="5"/>
        <v>1</v>
      </c>
    </row>
    <row r="20" spans="1:29" ht="15">
      <c r="A20" s="429"/>
      <c r="B20" s="457"/>
      <c r="C20" s="448"/>
      <c r="D20" s="449"/>
      <c r="E20" s="2607"/>
      <c r="F20" s="449"/>
      <c r="G20" s="2608"/>
      <c r="H20" s="449"/>
      <c r="I20" s="2608"/>
      <c r="J20" s="449"/>
      <c r="K20" s="2609"/>
      <c r="L20" s="1144"/>
      <c r="M20" s="1135"/>
      <c r="N20" s="1135"/>
      <c r="O20" s="1135"/>
      <c r="P20" s="3320"/>
      <c r="Q20" s="1815"/>
      <c r="R20" s="775"/>
      <c r="S20" s="776"/>
      <c r="T20" s="775"/>
      <c r="U20" s="776"/>
      <c r="V20" s="775"/>
      <c r="W20" s="776"/>
      <c r="X20" s="1818"/>
      <c r="Y20" s="3322"/>
      <c r="Z20" s="1819"/>
      <c r="AA20" s="1816">
        <v>1</v>
      </c>
      <c r="AB20" s="1816">
        <v>1</v>
      </c>
      <c r="AC20" s="1816">
        <v>1</v>
      </c>
    </row>
    <row r="21" spans="1:29" ht="28.5">
      <c r="A21" s="429"/>
      <c r="B21" s="1388" t="s">
        <v>2099</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320"/>
      <c r="Q21" s="1815" t="str">
        <f>B21</f>
        <v>基础设施水平</v>
      </c>
      <c r="R21" s="775" t="s">
        <v>17</v>
      </c>
      <c r="S21" s="776">
        <f>F21</f>
        <v>100</v>
      </c>
      <c r="T21" s="775" t="s">
        <v>17</v>
      </c>
      <c r="U21" s="776">
        <f>H21</f>
        <v>100</v>
      </c>
      <c r="V21" s="775" t="s">
        <v>17</v>
      </c>
      <c r="W21" s="776">
        <f>J21</f>
        <v>100</v>
      </c>
      <c r="X21" s="1818"/>
      <c r="Y21" s="3322"/>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49"/>
      <c r="G22" s="2614"/>
      <c r="H22" s="449"/>
      <c r="I22" s="448"/>
      <c r="J22" s="449"/>
      <c r="K22" s="2615"/>
      <c r="L22" s="1144"/>
      <c r="M22" s="1135"/>
      <c r="N22" s="1135"/>
      <c r="O22" s="1135"/>
      <c r="P22" s="3320"/>
      <c r="Q22" s="1815"/>
      <c r="R22" s="775"/>
      <c r="S22" s="776"/>
      <c r="T22" s="775"/>
      <c r="U22" s="776"/>
      <c r="V22" s="775"/>
      <c r="W22" s="776"/>
      <c r="X22" s="1818"/>
      <c r="Y22" s="3322"/>
      <c r="Z22" s="1819"/>
      <c r="AA22" s="1816">
        <v>1</v>
      </c>
      <c r="AB22" s="1816">
        <v>1</v>
      </c>
      <c r="AC22" s="1816">
        <v>1</v>
      </c>
    </row>
    <row r="23" spans="1:29" ht="57">
      <c r="A23" s="429"/>
      <c r="B23" s="452" t="s">
        <v>2103</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320"/>
      <c r="Q23" s="1815" t="str">
        <f>B23</f>
        <v>自然及人文环境</v>
      </c>
      <c r="R23" s="775" t="s">
        <v>21</v>
      </c>
      <c r="S23" s="776">
        <f>F23</f>
        <v>100</v>
      </c>
      <c r="T23" s="775" t="s">
        <v>21</v>
      </c>
      <c r="U23" s="776">
        <f>H23</f>
        <v>100</v>
      </c>
      <c r="V23" s="775" t="s">
        <v>21</v>
      </c>
      <c r="W23" s="776">
        <f>J23</f>
        <v>100</v>
      </c>
      <c r="X23" s="1818"/>
      <c r="Y23" s="3322"/>
      <c r="Z23" s="1819" t="str">
        <f>Q23</f>
        <v>自然及人文环境</v>
      </c>
      <c r="AA23" s="1816">
        <f>D23/F23</f>
        <v>1</v>
      </c>
      <c r="AB23" s="1816">
        <f>D23/H23</f>
        <v>1</v>
      </c>
      <c r="AC23" s="1816">
        <f>D23/J23</f>
        <v>1</v>
      </c>
    </row>
    <row r="24" spans="1:29" ht="15">
      <c r="A24" s="429"/>
      <c r="B24" s="457"/>
      <c r="C24" s="448"/>
      <c r="D24" s="449"/>
      <c r="E24" s="2607"/>
      <c r="F24" s="449"/>
      <c r="G24" s="2608"/>
      <c r="H24" s="449"/>
      <c r="I24" s="2608"/>
      <c r="J24" s="449"/>
      <c r="K24" s="2609"/>
      <c r="L24" s="1144"/>
      <c r="M24" s="1135"/>
      <c r="N24" s="1135"/>
      <c r="O24" s="1135"/>
      <c r="P24" s="3320"/>
      <c r="Q24" s="1815"/>
      <c r="R24" s="775"/>
      <c r="S24" s="776"/>
      <c r="T24" s="775"/>
      <c r="U24" s="776"/>
      <c r="V24" s="775"/>
      <c r="W24" s="776"/>
      <c r="X24" s="1818"/>
      <c r="Y24" s="3322"/>
      <c r="Z24" s="1819"/>
      <c r="AA24" s="1816">
        <v>1</v>
      </c>
      <c r="AB24" s="1816">
        <v>1</v>
      </c>
      <c r="AC24" s="1816">
        <v>1</v>
      </c>
    </row>
    <row r="25" spans="1:29" ht="15">
      <c r="A25" s="429"/>
      <c r="B25" s="423" t="s">
        <v>2561</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320"/>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322"/>
      <c r="Z25" s="1819" t="str">
        <f>Q25</f>
        <v>楼层-1</v>
      </c>
      <c r="AA25" s="1816">
        <f t="shared" ref="AA25:AA46" si="15">D25/F25</f>
        <v>1</v>
      </c>
      <c r="AB25" s="1816">
        <f t="shared" ref="AB25:AB46" si="16">D25/H25</f>
        <v>1</v>
      </c>
      <c r="AC25" s="1816">
        <f t="shared" ref="AC25:AC46" si="17">D25/J25</f>
        <v>1</v>
      </c>
    </row>
    <row r="26" spans="1:29" ht="15">
      <c r="A26" s="429"/>
      <c r="B26" s="423" t="s">
        <v>2562</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320"/>
      <c r="Q26" s="1815" t="str">
        <f t="shared" si="11"/>
        <v>朝向</v>
      </c>
      <c r="R26" s="775" t="s">
        <v>21</v>
      </c>
      <c r="S26" s="776">
        <f t="shared" si="12"/>
        <v>100</v>
      </c>
      <c r="T26" s="775" t="s">
        <v>21</v>
      </c>
      <c r="U26" s="776">
        <f t="shared" si="13"/>
        <v>100</v>
      </c>
      <c r="V26" s="775" t="s">
        <v>21</v>
      </c>
      <c r="W26" s="776">
        <f t="shared" si="14"/>
        <v>100</v>
      </c>
      <c r="X26" s="1818"/>
      <c r="Y26" s="3322"/>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320"/>
      <c r="Q27" s="1800">
        <f t="shared" si="11"/>
        <v>111</v>
      </c>
      <c r="R27" s="771" t="s">
        <v>21</v>
      </c>
      <c r="S27" s="772">
        <f t="shared" si="12"/>
        <v>100</v>
      </c>
      <c r="T27" s="771" t="s">
        <v>21</v>
      </c>
      <c r="U27" s="772">
        <f t="shared" si="13"/>
        <v>100</v>
      </c>
      <c r="V27" s="771" t="s">
        <v>21</v>
      </c>
      <c r="W27" s="772">
        <f t="shared" si="14"/>
        <v>100</v>
      </c>
      <c r="X27" s="773"/>
      <c r="Y27" s="3322"/>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320"/>
      <c r="Q28" s="1815">
        <f t="shared" si="11"/>
        <v>111</v>
      </c>
      <c r="R28" s="775" t="s">
        <v>21</v>
      </c>
      <c r="S28" s="776">
        <f t="shared" si="12"/>
        <v>100</v>
      </c>
      <c r="T28" s="775" t="s">
        <v>21</v>
      </c>
      <c r="U28" s="776">
        <f t="shared" si="13"/>
        <v>100</v>
      </c>
      <c r="V28" s="775" t="s">
        <v>21</v>
      </c>
      <c r="W28" s="776">
        <f t="shared" si="14"/>
        <v>100</v>
      </c>
      <c r="X28" s="1818"/>
      <c r="Y28" s="3322"/>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320"/>
      <c r="Q29" s="1815">
        <f t="shared" si="11"/>
        <v>111</v>
      </c>
      <c r="R29" s="775" t="s">
        <v>21</v>
      </c>
      <c r="S29" s="776">
        <f t="shared" si="12"/>
        <v>100</v>
      </c>
      <c r="T29" s="775" t="s">
        <v>21</v>
      </c>
      <c r="U29" s="776">
        <f t="shared" si="13"/>
        <v>100</v>
      </c>
      <c r="V29" s="775" t="s">
        <v>21</v>
      </c>
      <c r="W29" s="776">
        <f t="shared" si="14"/>
        <v>100</v>
      </c>
      <c r="X29" s="1818"/>
      <c r="Y29" s="3322"/>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320"/>
      <c r="Q30" s="1815">
        <f t="shared" si="11"/>
        <v>111</v>
      </c>
      <c r="R30" s="775" t="s">
        <v>21</v>
      </c>
      <c r="S30" s="776">
        <f t="shared" si="12"/>
        <v>100</v>
      </c>
      <c r="T30" s="775" t="s">
        <v>21</v>
      </c>
      <c r="U30" s="776">
        <f t="shared" si="13"/>
        <v>100</v>
      </c>
      <c r="V30" s="775" t="s">
        <v>21</v>
      </c>
      <c r="W30" s="776">
        <f t="shared" si="14"/>
        <v>100</v>
      </c>
      <c r="X30" s="1818"/>
      <c r="Y30" s="3322"/>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320"/>
      <c r="Q31" s="1815">
        <f t="shared" si="11"/>
        <v>111</v>
      </c>
      <c r="R31" s="775" t="s">
        <v>21</v>
      </c>
      <c r="S31" s="776">
        <f t="shared" si="12"/>
        <v>100</v>
      </c>
      <c r="T31" s="775" t="s">
        <v>21</v>
      </c>
      <c r="U31" s="776">
        <f t="shared" si="13"/>
        <v>100</v>
      </c>
      <c r="V31" s="775" t="s">
        <v>21</v>
      </c>
      <c r="W31" s="776">
        <f t="shared" si="14"/>
        <v>100</v>
      </c>
      <c r="X31" s="1818"/>
      <c r="Y31" s="3322"/>
      <c r="Z31" s="1819">
        <f t="shared" si="18"/>
        <v>111</v>
      </c>
      <c r="AA31" s="1816">
        <f t="shared" si="15"/>
        <v>1</v>
      </c>
      <c r="AB31" s="1816">
        <f t="shared" si="16"/>
        <v>1</v>
      </c>
      <c r="AC31" s="1816">
        <f t="shared" si="17"/>
        <v>1</v>
      </c>
    </row>
    <row r="32" spans="1:29" ht="15">
      <c r="A32" s="441" t="s">
        <v>2563</v>
      </c>
      <c r="B32" s="71" t="s">
        <v>2564</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323" t="s">
        <v>2565</v>
      </c>
      <c r="Q32" s="1815" t="str">
        <f t="shared" si="11"/>
        <v>建筑类型</v>
      </c>
      <c r="R32" s="775" t="s">
        <v>21</v>
      </c>
      <c r="S32" s="776">
        <f t="shared" si="12"/>
        <v>100</v>
      </c>
      <c r="T32" s="775" t="s">
        <v>21</v>
      </c>
      <c r="U32" s="776">
        <f t="shared" si="13"/>
        <v>100</v>
      </c>
      <c r="V32" s="775" t="s">
        <v>21</v>
      </c>
      <c r="W32" s="776">
        <f t="shared" si="14"/>
        <v>100</v>
      </c>
      <c r="X32" s="1818"/>
      <c r="Y32" s="3326" t="s">
        <v>2565</v>
      </c>
      <c r="Z32" s="1819" t="str">
        <f t="shared" si="18"/>
        <v>建筑类型</v>
      </c>
      <c r="AA32" s="1816">
        <f t="shared" si="15"/>
        <v>1</v>
      </c>
      <c r="AB32" s="1816">
        <f t="shared" si="16"/>
        <v>1</v>
      </c>
      <c r="AC32" s="1816">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324"/>
      <c r="Q33" s="777" t="str">
        <f t="shared" si="11"/>
        <v>项目建筑规模</v>
      </c>
      <c r="R33" s="778" t="s">
        <v>21</v>
      </c>
      <c r="S33" s="779" t="e">
        <f t="shared" si="12"/>
        <v>#N/A</v>
      </c>
      <c r="T33" s="778" t="s">
        <v>21</v>
      </c>
      <c r="U33" s="779" t="e">
        <f t="shared" si="13"/>
        <v>#N/A</v>
      </c>
      <c r="V33" s="778" t="s">
        <v>21</v>
      </c>
      <c r="W33" s="779" t="e">
        <f t="shared" si="14"/>
        <v>#N/A</v>
      </c>
      <c r="X33" s="780"/>
      <c r="Y33" s="3326"/>
      <c r="Z33" s="781" t="str">
        <f t="shared" si="18"/>
        <v>项目建筑规模</v>
      </c>
      <c r="AA33" s="1816" t="e">
        <f t="shared" si="15"/>
        <v>#N/A</v>
      </c>
      <c r="AB33" s="1816" t="e">
        <f t="shared" si="16"/>
        <v>#N/A</v>
      </c>
      <c r="AC33" s="1816" t="e">
        <f t="shared" si="17"/>
        <v>#N/A</v>
      </c>
    </row>
    <row r="34" spans="1:29" ht="15">
      <c r="A34" s="473"/>
      <c r="B34" s="423" t="s">
        <v>2567</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324"/>
      <c r="Q34" s="1815" t="str">
        <f t="shared" si="11"/>
        <v>建筑结构</v>
      </c>
      <c r="R34" s="775" t="s">
        <v>21</v>
      </c>
      <c r="S34" s="776">
        <f t="shared" si="12"/>
        <v>100</v>
      </c>
      <c r="T34" s="775" t="s">
        <v>21</v>
      </c>
      <c r="U34" s="776">
        <f t="shared" si="13"/>
        <v>100</v>
      </c>
      <c r="V34" s="775" t="s">
        <v>21</v>
      </c>
      <c r="W34" s="776">
        <f t="shared" si="14"/>
        <v>100</v>
      </c>
      <c r="X34" s="1818"/>
      <c r="Y34" s="3326"/>
      <c r="Z34" s="1819" t="str">
        <f t="shared" si="18"/>
        <v>建筑结构</v>
      </c>
      <c r="AA34" s="1816">
        <f t="shared" si="15"/>
        <v>1</v>
      </c>
      <c r="AB34" s="1816">
        <f t="shared" si="16"/>
        <v>1</v>
      </c>
      <c r="AC34" s="1816">
        <f t="shared" si="17"/>
        <v>1</v>
      </c>
    </row>
    <row r="35" spans="1:29" ht="15">
      <c r="A35" s="473"/>
      <c r="B35" s="423" t="s">
        <v>2568</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324"/>
      <c r="Q35" s="1815" t="str">
        <f t="shared" si="11"/>
        <v>建筑品质</v>
      </c>
      <c r="R35" s="775" t="s">
        <v>21</v>
      </c>
      <c r="S35" s="776">
        <f t="shared" si="12"/>
        <v>100</v>
      </c>
      <c r="T35" s="775" t="s">
        <v>21</v>
      </c>
      <c r="U35" s="776">
        <f t="shared" si="13"/>
        <v>100</v>
      </c>
      <c r="V35" s="775" t="s">
        <v>21</v>
      </c>
      <c r="W35" s="776">
        <f t="shared" si="14"/>
        <v>100</v>
      </c>
      <c r="X35" s="1818"/>
      <c r="Y35" s="3326"/>
      <c r="Z35" s="1819" t="str">
        <f t="shared" si="18"/>
        <v>建筑品质</v>
      </c>
      <c r="AA35" s="1816">
        <f t="shared" si="15"/>
        <v>1</v>
      </c>
      <c r="AB35" s="1816">
        <f t="shared" si="16"/>
        <v>1</v>
      </c>
      <c r="AC35" s="1816">
        <f t="shared" si="17"/>
        <v>1</v>
      </c>
    </row>
    <row r="36" spans="1:29" ht="15">
      <c r="A36" s="473"/>
      <c r="B36" s="423" t="s">
        <v>2569</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324"/>
      <c r="Q36" s="1815" t="str">
        <f t="shared" si="11"/>
        <v>公共部分装修</v>
      </c>
      <c r="R36" s="775" t="s">
        <v>21</v>
      </c>
      <c r="S36" s="776">
        <f t="shared" si="12"/>
        <v>100</v>
      </c>
      <c r="T36" s="775" t="s">
        <v>21</v>
      </c>
      <c r="U36" s="776">
        <f t="shared" si="13"/>
        <v>100</v>
      </c>
      <c r="V36" s="775" t="s">
        <v>21</v>
      </c>
      <c r="W36" s="776">
        <f t="shared" si="14"/>
        <v>100</v>
      </c>
      <c r="X36" s="1818"/>
      <c r="Y36" s="3326"/>
      <c r="Z36" s="1819" t="str">
        <f t="shared" si="18"/>
        <v>公共部分装修</v>
      </c>
      <c r="AA36" s="1816">
        <f t="shared" si="15"/>
        <v>1</v>
      </c>
      <c r="AB36" s="1816">
        <f t="shared" si="16"/>
        <v>1</v>
      </c>
      <c r="AC36" s="1816">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324"/>
      <c r="Q37" s="1800" t="str">
        <f t="shared" si="11"/>
        <v>成新度</v>
      </c>
      <c r="R37" s="771" t="s">
        <v>21</v>
      </c>
      <c r="S37" s="772" t="e">
        <f t="shared" si="12"/>
        <v>#N/A</v>
      </c>
      <c r="T37" s="771" t="s">
        <v>21</v>
      </c>
      <c r="U37" s="772" t="e">
        <f t="shared" si="13"/>
        <v>#N/A</v>
      </c>
      <c r="V37" s="771" t="s">
        <v>21</v>
      </c>
      <c r="W37" s="772" t="e">
        <f t="shared" si="14"/>
        <v>#N/A</v>
      </c>
      <c r="X37" s="773"/>
      <c r="Y37" s="3326"/>
      <c r="Z37" s="55" t="str">
        <f t="shared" si="18"/>
        <v>成新度</v>
      </c>
      <c r="AA37" s="774" t="e">
        <f t="shared" si="15"/>
        <v>#N/A</v>
      </c>
      <c r="AB37" s="774" t="e">
        <f t="shared" si="16"/>
        <v>#N/A</v>
      </c>
      <c r="AC37" s="774" t="e">
        <f t="shared" si="17"/>
        <v>#N/A</v>
      </c>
    </row>
    <row r="38" spans="1:29" ht="15">
      <c r="A38" s="473"/>
      <c r="B38" s="423" t="s">
        <v>2571</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324" t="s">
        <v>2565</v>
      </c>
      <c r="Q38" s="1815" t="str">
        <f t="shared" si="11"/>
        <v>物业管理</v>
      </c>
      <c r="R38" s="775" t="s">
        <v>21</v>
      </c>
      <c r="S38" s="776">
        <f t="shared" si="12"/>
        <v>100</v>
      </c>
      <c r="T38" s="775" t="s">
        <v>21</v>
      </c>
      <c r="U38" s="776">
        <f t="shared" si="13"/>
        <v>100</v>
      </c>
      <c r="V38" s="775" t="s">
        <v>21</v>
      </c>
      <c r="W38" s="776">
        <f t="shared" si="14"/>
        <v>100</v>
      </c>
      <c r="X38" s="1818"/>
      <c r="Y38" s="3326" t="s">
        <v>2565</v>
      </c>
      <c r="Z38" s="1819" t="str">
        <f t="shared" si="18"/>
        <v>物业管理</v>
      </c>
      <c r="AA38" s="1816">
        <f t="shared" si="15"/>
        <v>1</v>
      </c>
      <c r="AB38" s="1816">
        <f t="shared" si="16"/>
        <v>1</v>
      </c>
      <c r="AC38" s="1816">
        <f t="shared" si="17"/>
        <v>1</v>
      </c>
    </row>
    <row r="39" spans="1:29" ht="15">
      <c r="A39" s="473"/>
      <c r="B39" s="423" t="s">
        <v>2572</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324"/>
      <c r="Q39" s="1815" t="str">
        <f t="shared" si="11"/>
        <v>市政基础设施</v>
      </c>
      <c r="R39" s="775" t="s">
        <v>21</v>
      </c>
      <c r="S39" s="776">
        <f t="shared" si="12"/>
        <v>100</v>
      </c>
      <c r="T39" s="775" t="s">
        <v>21</v>
      </c>
      <c r="U39" s="776">
        <f t="shared" si="13"/>
        <v>100</v>
      </c>
      <c r="V39" s="775" t="s">
        <v>21</v>
      </c>
      <c r="W39" s="776">
        <f t="shared" si="14"/>
        <v>100</v>
      </c>
      <c r="X39" s="1818"/>
      <c r="Y39" s="3326"/>
      <c r="Z39" s="1819" t="str">
        <f t="shared" si="18"/>
        <v>市政基础设施</v>
      </c>
      <c r="AA39" s="1816">
        <f t="shared" si="15"/>
        <v>1</v>
      </c>
      <c r="AB39" s="1816">
        <f t="shared" si="16"/>
        <v>1</v>
      </c>
      <c r="AC39" s="1816">
        <f t="shared" si="17"/>
        <v>1</v>
      </c>
    </row>
    <row r="40" spans="1:29" ht="15">
      <c r="A40" s="473"/>
      <c r="B40" s="423" t="s">
        <v>2573</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324"/>
      <c r="Q40" s="1815" t="str">
        <f t="shared" si="11"/>
        <v>房型</v>
      </c>
      <c r="R40" s="775" t="s">
        <v>21</v>
      </c>
      <c r="S40" s="776">
        <f t="shared" si="12"/>
        <v>100</v>
      </c>
      <c r="T40" s="775" t="s">
        <v>21</v>
      </c>
      <c r="U40" s="776">
        <f t="shared" si="13"/>
        <v>100</v>
      </c>
      <c r="V40" s="775" t="s">
        <v>21</v>
      </c>
      <c r="W40" s="776">
        <f t="shared" si="14"/>
        <v>100</v>
      </c>
      <c r="X40" s="1818"/>
      <c r="Y40" s="3326"/>
      <c r="Z40" s="1819" t="str">
        <f t="shared" si="18"/>
        <v>房型</v>
      </c>
      <c r="AA40" s="1816">
        <f t="shared" si="15"/>
        <v>1</v>
      </c>
      <c r="AB40" s="1816">
        <f t="shared" si="16"/>
        <v>1</v>
      </c>
      <c r="AC40" s="1816">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324"/>
      <c r="Q41" s="777" t="str">
        <f t="shared" si="11"/>
        <v>单套/主力户型建筑面积</v>
      </c>
      <c r="R41" s="778" t="s">
        <v>21</v>
      </c>
      <c r="S41" s="779">
        <f t="shared" si="12"/>
        <v>100</v>
      </c>
      <c r="T41" s="778" t="s">
        <v>21</v>
      </c>
      <c r="U41" s="779">
        <f t="shared" si="13"/>
        <v>100</v>
      </c>
      <c r="V41" s="778" t="s">
        <v>21</v>
      </c>
      <c r="W41" s="779">
        <f t="shared" si="14"/>
        <v>100</v>
      </c>
      <c r="X41" s="780"/>
      <c r="Y41" s="3326"/>
      <c r="Z41" s="781" t="str">
        <f t="shared" si="18"/>
        <v>单套/主力户型建筑面积</v>
      </c>
      <c r="AA41" s="1816">
        <f t="shared" si="15"/>
        <v>1</v>
      </c>
      <c r="AB41" s="1816">
        <f t="shared" si="16"/>
        <v>1</v>
      </c>
      <c r="AC41" s="1816">
        <f t="shared" si="17"/>
        <v>1</v>
      </c>
    </row>
    <row r="42" spans="1:29" ht="15">
      <c r="A42" s="473"/>
      <c r="B42" s="423" t="s">
        <v>2575</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324"/>
      <c r="Q42" s="1815" t="str">
        <f t="shared" si="11"/>
        <v>内部装修</v>
      </c>
      <c r="R42" s="775" t="s">
        <v>21</v>
      </c>
      <c r="S42" s="776">
        <f t="shared" si="12"/>
        <v>100</v>
      </c>
      <c r="T42" s="775" t="s">
        <v>21</v>
      </c>
      <c r="U42" s="776">
        <f t="shared" si="13"/>
        <v>100</v>
      </c>
      <c r="V42" s="775" t="s">
        <v>21</v>
      </c>
      <c r="W42" s="776">
        <f t="shared" si="14"/>
        <v>100</v>
      </c>
      <c r="X42" s="1818"/>
      <c r="Y42" s="3326"/>
      <c r="Z42" s="1819" t="str">
        <f t="shared" si="18"/>
        <v>内部装修</v>
      </c>
      <c r="AA42" s="1816">
        <f t="shared" si="15"/>
        <v>1</v>
      </c>
      <c r="AB42" s="1816">
        <f t="shared" si="16"/>
        <v>1</v>
      </c>
      <c r="AC42" s="1816">
        <f t="shared" si="17"/>
        <v>1</v>
      </c>
    </row>
    <row r="43" spans="1:29" ht="15">
      <c r="A43" s="473"/>
      <c r="B43" s="423" t="s">
        <v>2576</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324"/>
      <c r="Q43" s="1815" t="str">
        <f t="shared" si="11"/>
        <v>内部装修维护情况</v>
      </c>
      <c r="R43" s="775" t="s">
        <v>21</v>
      </c>
      <c r="S43" s="776">
        <f t="shared" si="12"/>
        <v>100</v>
      </c>
      <c r="T43" s="775" t="s">
        <v>21</v>
      </c>
      <c r="U43" s="776">
        <f t="shared" si="13"/>
        <v>100</v>
      </c>
      <c r="V43" s="775" t="s">
        <v>21</v>
      </c>
      <c r="W43" s="776">
        <f t="shared" si="14"/>
        <v>100</v>
      </c>
      <c r="X43" s="1818"/>
      <c r="Y43" s="3326"/>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324"/>
      <c r="Q44" s="1800">
        <f t="shared" si="11"/>
        <v>111</v>
      </c>
      <c r="R44" s="771" t="s">
        <v>21</v>
      </c>
      <c r="S44" s="772">
        <f t="shared" si="12"/>
        <v>100</v>
      </c>
      <c r="T44" s="771" t="s">
        <v>21</v>
      </c>
      <c r="U44" s="772">
        <f t="shared" si="13"/>
        <v>100</v>
      </c>
      <c r="V44" s="771" t="s">
        <v>21</v>
      </c>
      <c r="W44" s="772">
        <f t="shared" si="14"/>
        <v>100</v>
      </c>
      <c r="X44" s="773"/>
      <c r="Y44" s="3326"/>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324"/>
      <c r="Q45" s="1815">
        <f t="shared" si="11"/>
        <v>111</v>
      </c>
      <c r="R45" s="775" t="s">
        <v>21</v>
      </c>
      <c r="S45" s="776">
        <f t="shared" si="12"/>
        <v>100</v>
      </c>
      <c r="T45" s="775" t="s">
        <v>21</v>
      </c>
      <c r="U45" s="776">
        <f t="shared" si="13"/>
        <v>100</v>
      </c>
      <c r="V45" s="775" t="s">
        <v>21</v>
      </c>
      <c r="W45" s="776">
        <f t="shared" si="14"/>
        <v>100</v>
      </c>
      <c r="X45" s="1818"/>
      <c r="Y45" s="3326"/>
      <c r="Z45" s="1819">
        <f t="shared" si="18"/>
        <v>111</v>
      </c>
      <c r="AA45" s="1816">
        <f t="shared" si="15"/>
        <v>1</v>
      </c>
      <c r="AB45" s="1816">
        <f t="shared" si="16"/>
        <v>1</v>
      </c>
      <c r="AC45" s="1816">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325"/>
      <c r="Q46" s="1815">
        <f t="shared" si="11"/>
        <v>111</v>
      </c>
      <c r="R46" s="775" t="s">
        <v>20</v>
      </c>
      <c r="S46" s="776">
        <f t="shared" si="12"/>
        <v>100</v>
      </c>
      <c r="T46" s="775" t="s">
        <v>20</v>
      </c>
      <c r="U46" s="776">
        <f t="shared" si="13"/>
        <v>100</v>
      </c>
      <c r="V46" s="775" t="s">
        <v>20</v>
      </c>
      <c r="W46" s="776">
        <f t="shared" si="14"/>
        <v>100</v>
      </c>
      <c r="X46" s="1818"/>
      <c r="Y46" s="3327"/>
      <c r="Z46" s="1819">
        <f t="shared" si="18"/>
        <v>111</v>
      </c>
      <c r="AA46" s="1816">
        <f t="shared" si="15"/>
        <v>1</v>
      </c>
      <c r="AB46" s="1816">
        <f t="shared" si="16"/>
        <v>1</v>
      </c>
      <c r="AC46" s="1816">
        <f t="shared" si="17"/>
        <v>1</v>
      </c>
    </row>
    <row r="47" spans="1:29" ht="15">
      <c r="A47" s="480" t="s">
        <v>2577</v>
      </c>
      <c r="B47" s="481"/>
      <c r="C47" s="1411" t="s">
        <v>19</v>
      </c>
      <c r="D47" s="1412"/>
      <c r="E47" s="1413"/>
      <c r="F47" s="1414"/>
      <c r="G47" s="1415"/>
      <c r="H47" s="1416"/>
      <c r="I47" s="1413"/>
      <c r="J47" s="1416"/>
      <c r="K47" s="2624"/>
      <c r="L47" s="1147"/>
      <c r="M47" s="1148"/>
      <c r="N47" s="1135"/>
      <c r="O47" s="1148"/>
      <c r="P47" s="3314" t="str">
        <f>A47</f>
        <v>成交单价（元/平方米）</v>
      </c>
      <c r="Q47" s="3314"/>
      <c r="R47" s="3315">
        <f>E47</f>
        <v>0</v>
      </c>
      <c r="S47" s="3315"/>
      <c r="T47" s="3315">
        <f>G47</f>
        <v>0</v>
      </c>
      <c r="U47" s="3315"/>
      <c r="V47" s="3315">
        <f>I47</f>
        <v>0</v>
      </c>
      <c r="W47" s="3315"/>
      <c r="X47" s="760"/>
      <c r="Y47" s="782"/>
      <c r="Z47" s="760"/>
      <c r="AA47" s="760"/>
      <c r="AB47" s="760"/>
      <c r="AC47" s="760"/>
    </row>
    <row r="48" spans="1:29" ht="15.75" thickBot="1">
      <c r="A48" s="487" t="s">
        <v>2578</v>
      </c>
      <c r="B48" s="488"/>
      <c r="C48" s="1417" t="e">
        <f>R49</f>
        <v>#DIV/0!</v>
      </c>
      <c r="D48" s="1418"/>
      <c r="E48" s="1419" t="e">
        <f>R48</f>
        <v>#DIV/0!</v>
      </c>
      <c r="F48" s="1419"/>
      <c r="G48" s="1417" t="e">
        <f>T48</f>
        <v>#DIV/0!</v>
      </c>
      <c r="H48" s="1418"/>
      <c r="I48" s="1419" t="e">
        <f>V48</f>
        <v>#DIV/0!</v>
      </c>
      <c r="J48" s="1418"/>
      <c r="K48" s="2625"/>
      <c r="L48" s="1147"/>
      <c r="M48" s="1148"/>
      <c r="N48" s="1148"/>
      <c r="O48" s="1148"/>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760"/>
      <c r="Y48" s="760"/>
      <c r="Z48" s="760"/>
      <c r="AA48" s="760"/>
      <c r="AB48" s="760"/>
      <c r="AC48" s="760"/>
    </row>
    <row r="49" spans="1:29" ht="15.75" thickBot="1">
      <c r="A49" s="493" t="s">
        <v>2579</v>
      </c>
      <c r="B49" s="494"/>
      <c r="C49" s="1420" t="e">
        <f>R49</f>
        <v>#DIV/0!</v>
      </c>
      <c r="D49" s="1421"/>
      <c r="E49" s="1421"/>
      <c r="F49" s="1421"/>
      <c r="G49" s="1421"/>
      <c r="H49" s="1421"/>
      <c r="I49" s="1421"/>
      <c r="J49" s="1421"/>
      <c r="K49" s="2626"/>
      <c r="L49" s="1147"/>
      <c r="M49" s="1148"/>
      <c r="N49" s="1148"/>
      <c r="O49" s="1148"/>
      <c r="P49" s="3377" t="str">
        <f>A49</f>
        <v>估价对象XX用房的比较价值（楼面单价，元/平方米）</v>
      </c>
      <c r="Q49" s="3378"/>
      <c r="R49" s="3379" t="e">
        <f>IF(F1="售价",ROUND(AVERAGE(R48:V48),0),ROUND(AVERAGE(R48:V48),1))</f>
        <v>#DIV/0!</v>
      </c>
      <c r="S49" s="3379"/>
      <c r="T49" s="3379"/>
      <c r="U49" s="3379"/>
      <c r="V49" s="3379"/>
      <c r="W49" s="337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2583</v>
      </c>
      <c r="B57" s="760"/>
      <c r="C57" s="765"/>
      <c r="D57" s="765"/>
      <c r="E57" s="765"/>
      <c r="F57" s="766"/>
      <c r="G57" s="766"/>
      <c r="H57" s="765"/>
      <c r="I57" s="765"/>
      <c r="J57" s="765"/>
      <c r="K57" s="1164"/>
      <c r="L57" s="1165"/>
      <c r="M57" s="1163"/>
      <c r="N57" s="1163"/>
      <c r="O57" s="1163"/>
      <c r="P57" s="2629"/>
      <c r="Q57" s="505"/>
    </row>
    <row r="58" spans="1:29" s="509" customFormat="1" ht="15">
      <c r="A58" s="506" t="s">
        <v>2584</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0"/>
      <c r="C59" s="1578">
        <v>100</v>
      </c>
      <c r="D59" s="512"/>
      <c r="E59" s="513"/>
      <c r="F59" s="513"/>
      <c r="G59" s="513"/>
      <c r="H59" s="513"/>
      <c r="I59" s="513"/>
      <c r="J59" s="513"/>
      <c r="K59" s="513"/>
      <c r="L59" s="513"/>
      <c r="M59" s="514"/>
      <c r="N59" s="513"/>
      <c r="O59" s="514"/>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2586</v>
      </c>
      <c r="B61" s="511"/>
      <c r="C61" s="523" t="s">
        <v>2587</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3"/>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2099</v>
      </c>
      <c r="C82" s="540" t="s">
        <v>2604</v>
      </c>
      <c r="D82" s="540" t="s">
        <v>2605</v>
      </c>
      <c r="E82" s="540" t="s">
        <v>2606</v>
      </c>
      <c r="F82" s="540" t="s">
        <v>2607</v>
      </c>
      <c r="G82" s="540" t="s">
        <v>2608</v>
      </c>
      <c r="H82" s="540"/>
      <c r="I82" s="540"/>
      <c r="J82" s="540"/>
      <c r="K82" s="540"/>
      <c r="L82" s="540"/>
      <c r="M82" s="1386"/>
      <c r="N82" s="1157"/>
      <c r="O82" s="1157"/>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2610</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3"/>
      <c r="Q87" s="505"/>
    </row>
    <row r="88" spans="1:17" s="117" customFormat="1" ht="15.75" thickTop="1">
      <c r="A88" s="580"/>
      <c r="B88" s="539" t="s">
        <v>2611</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2563</v>
      </c>
      <c r="B100" s="529" t="s">
        <v>2612</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3"/>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2614</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3"/>
      <c r="Q106" s="505"/>
    </row>
    <row r="107" spans="1:17" ht="15" thickTop="1">
      <c r="A107" s="600"/>
      <c r="B107" s="539" t="s">
        <v>2615</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3"/>
      <c r="Q108" s="505"/>
    </row>
    <row r="109" spans="1:17" ht="15" thickTop="1">
      <c r="A109" s="600"/>
      <c r="B109" s="539" t="s">
        <v>2616</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3"/>
      <c r="Q110" s="505"/>
    </row>
    <row r="111" spans="1:17" s="472" customFormat="1" ht="15" thickTop="1">
      <c r="A111" s="594"/>
      <c r="B111" s="539" t="s">
        <v>1996</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2617</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3"/>
      <c r="Q115" s="505"/>
    </row>
    <row r="116" spans="1:17" ht="15" thickTop="1">
      <c r="A116" s="600"/>
      <c r="B116" s="539" t="s">
        <v>2618</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2619</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3"/>
      <c r="Q119" s="505"/>
    </row>
    <row r="120" spans="1:17" s="472" customFormat="1" ht="28.5" thickTop="1">
      <c r="A120" s="594"/>
      <c r="B120" s="539" t="s">
        <v>2574</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2620</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8">
        <v>6</v>
      </c>
      <c r="C139" s="1089">
        <v>96</v>
      </c>
      <c r="D139" s="2651" t="s">
        <v>2631</v>
      </c>
      <c r="E139" s="1090">
        <v>100</v>
      </c>
      <c r="F139" s="1091">
        <v>102.5</v>
      </c>
      <c r="G139" s="2651" t="s">
        <v>2631</v>
      </c>
      <c r="H139" s="1092">
        <v>105</v>
      </c>
      <c r="I139" s="2652" t="s">
        <v>2632</v>
      </c>
      <c r="J139" s="1089">
        <v>20</v>
      </c>
      <c r="K139" s="1093">
        <f>C145/(J139-2)</f>
        <v>4.0555555555555553E-3</v>
      </c>
    </row>
    <row r="140" spans="1:17" ht="15">
      <c r="B140" s="1094">
        <v>5</v>
      </c>
      <c r="C140" s="1095">
        <v>100</v>
      </c>
      <c r="D140" s="1095"/>
      <c r="E140" s="1096"/>
      <c r="F140" s="1097">
        <v>102</v>
      </c>
      <c r="G140" s="1095"/>
      <c r="H140" s="1098"/>
      <c r="I140" s="2653" t="s">
        <v>2633</v>
      </c>
      <c r="J140" s="316">
        <f>ROUNDUP((J139-1)/2,0)</f>
        <v>10</v>
      </c>
      <c r="K140" s="1099">
        <v>100</v>
      </c>
    </row>
    <row r="141" spans="1:17" ht="15">
      <c r="B141" s="1094">
        <v>4</v>
      </c>
      <c r="C141" s="1095">
        <v>102</v>
      </c>
      <c r="D141" s="1095"/>
      <c r="E141" s="1096"/>
      <c r="F141" s="1097">
        <v>101.5</v>
      </c>
      <c r="G141" s="1095"/>
      <c r="H141" s="1098"/>
      <c r="I141" s="2653" t="s">
        <v>2634</v>
      </c>
      <c r="J141" s="316">
        <v>1</v>
      </c>
      <c r="K141" s="1100">
        <f>ROUND(100+(J141-J140)*K139*100,1)</f>
        <v>96.4</v>
      </c>
    </row>
    <row r="142" spans="1:17" ht="15">
      <c r="B142" s="1094">
        <v>3</v>
      </c>
      <c r="C142" s="1095">
        <v>103</v>
      </c>
      <c r="D142" s="1095"/>
      <c r="E142" s="1096"/>
      <c r="F142" s="1097">
        <v>101</v>
      </c>
      <c r="G142" s="1095"/>
      <c r="H142" s="1098"/>
      <c r="I142" s="2653" t="s">
        <v>2635</v>
      </c>
      <c r="J142" s="316">
        <f>J139</f>
        <v>20</v>
      </c>
      <c r="K142" s="1101">
        <v>95</v>
      </c>
    </row>
    <row r="143" spans="1:17" ht="15">
      <c r="B143" s="1094">
        <v>2</v>
      </c>
      <c r="C143" s="1095">
        <v>100</v>
      </c>
      <c r="D143" s="1095"/>
      <c r="E143" s="1096"/>
      <c r="F143" s="1097">
        <v>100.5</v>
      </c>
      <c r="G143" s="1095"/>
      <c r="H143" s="1098"/>
      <c r="I143" s="2653" t="s">
        <v>2636</v>
      </c>
      <c r="J143" s="1095">
        <v>15</v>
      </c>
      <c r="K143" s="1100">
        <f>ROUND(100+(J143-J140)*K139*100,1)</f>
        <v>102</v>
      </c>
    </row>
    <row r="144" spans="1:17" ht="15">
      <c r="B144" s="1094">
        <v>1</v>
      </c>
      <c r="C144" s="1095">
        <v>98</v>
      </c>
      <c r="D144" s="2654" t="s">
        <v>2637</v>
      </c>
      <c r="E144" s="1096">
        <v>102</v>
      </c>
      <c r="F144" s="1102">
        <v>100</v>
      </c>
      <c r="G144" s="2654" t="s">
        <v>2637</v>
      </c>
      <c r="H144" s="1098">
        <v>105</v>
      </c>
      <c r="I144" s="2653" t="s">
        <v>2636</v>
      </c>
      <c r="J144" s="1095">
        <v>18</v>
      </c>
      <c r="K144" s="1100">
        <f>ROUND(100+(J144-J140)*K139*100,1)</f>
        <v>103.2</v>
      </c>
    </row>
    <row r="145" spans="2:11" ht="15.75" thickBot="1">
      <c r="B145" s="2655" t="s">
        <v>2638</v>
      </c>
      <c r="C145" s="1103">
        <f>ROUND(MAX(C139:C144)/MIN(C139:C144)-1,3)</f>
        <v>7.2999999999999995E-2</v>
      </c>
      <c r="D145" s="1104"/>
      <c r="E145" s="1104"/>
      <c r="F145" s="2656" t="s">
        <v>2639</v>
      </c>
      <c r="G145" s="2657"/>
      <c r="H145" s="2658"/>
      <c r="I145" s="2659" t="s">
        <v>2636</v>
      </c>
      <c r="J145" s="1105">
        <v>8</v>
      </c>
      <c r="K145" s="1106">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2702</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IF(C2="——",ROUND(C43*D3/10000,0),ROUND(C43*D3/10000,0)-D2)</f>
        <v>#DIV/0!</v>
      </c>
      <c r="C2" s="2589"/>
      <c r="D2" s="1128"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2644</v>
      </c>
      <c r="D3" s="400">
        <f>IF(D1="",'数据-汇总表'!E3,SUMIF('数据-汇总表'!$C19:$C33,D1,'数据-汇总表'!$E19:$E33))</f>
        <v>66448.330000000016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29"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SUMIF(52:52,YEAR(E7)&amp;"-"&amp;MONTH(E7),53:53)</f>
        <v>0</v>
      </c>
      <c r="G7" s="413"/>
      <c r="H7" s="412">
        <f>SUMIF(52:52,YEAR(G7)&amp;"-"&amp;MONTH(G7),53:53)</f>
        <v>0</v>
      </c>
      <c r="I7" s="413"/>
      <c r="J7" s="412">
        <f>SUMIF(52:52,YEAR(I7)&amp;"-"&amp;MONTH(I7),53:53)</f>
        <v>0</v>
      </c>
      <c r="K7" s="612"/>
      <c r="L7" s="1136"/>
      <c r="M7" s="1137"/>
      <c r="N7" s="1137"/>
      <c r="O7" s="1137"/>
      <c r="P7" s="3355" t="s">
        <v>2549</v>
      </c>
      <c r="Q7" s="3356"/>
      <c r="R7" s="771" t="s">
        <v>17</v>
      </c>
      <c r="S7" s="772">
        <f t="shared" ref="S7:S15" si="0">F7</f>
        <v>0</v>
      </c>
      <c r="T7" s="771" t="s">
        <v>17</v>
      </c>
      <c r="U7" s="772">
        <f t="shared" ref="U7:U15" si="1">H7</f>
        <v>0</v>
      </c>
      <c r="V7" s="771" t="s">
        <v>17</v>
      </c>
      <c r="W7" s="772">
        <f t="shared" ref="W7:W15" si="2">J7</f>
        <v>0</v>
      </c>
      <c r="X7" s="773"/>
      <c r="Y7" s="3355" t="s">
        <v>2549</v>
      </c>
      <c r="Z7" s="3354"/>
      <c r="AA7" s="774" t="e">
        <f>D7/F7</f>
        <v>#DIV/0!</v>
      </c>
      <c r="AB7" s="774" t="e">
        <f>D7/H7</f>
        <v>#DIV/0!</v>
      </c>
      <c r="AC7" s="774"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40" si="3">D8/F8</f>
        <v>#DIV/0!</v>
      </c>
      <c r="AB8" s="774" t="e">
        <f t="shared" ref="AB8:AB40" si="4">D8/H8</f>
        <v>#DIV/0!</v>
      </c>
      <c r="AC8" s="774"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314"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314"/>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314"/>
      <c r="Q11" s="1800" t="str">
        <f t="shared" si="6"/>
        <v>容积率</v>
      </c>
      <c r="R11" s="771" t="s">
        <v>17</v>
      </c>
      <c r="S11" s="772" t="e">
        <f t="shared" si="0"/>
        <v>#N/A</v>
      </c>
      <c r="T11" s="771" t="s">
        <v>17</v>
      </c>
      <c r="U11" s="772" t="e">
        <f t="shared" si="1"/>
        <v>#N/A</v>
      </c>
      <c r="V11" s="771" t="s">
        <v>17</v>
      </c>
      <c r="W11" s="772" t="e">
        <f t="shared" si="2"/>
        <v>#N/A</v>
      </c>
      <c r="X11" s="773"/>
      <c r="Y11" s="3148"/>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314"/>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314"/>
      <c r="Q14" s="1800">
        <f t="shared" si="6"/>
        <v>111</v>
      </c>
      <c r="R14" s="771" t="s">
        <v>17</v>
      </c>
      <c r="S14" s="772">
        <f t="shared" si="0"/>
        <v>100</v>
      </c>
      <c r="T14" s="771" t="s">
        <v>17</v>
      </c>
      <c r="U14" s="772">
        <f t="shared" si="1"/>
        <v>100</v>
      </c>
      <c r="V14" s="771" t="s">
        <v>17</v>
      </c>
      <c r="W14" s="772">
        <f t="shared" si="2"/>
        <v>100</v>
      </c>
      <c r="X14" s="773"/>
      <c r="Y14" s="3148"/>
      <c r="Z14" s="55">
        <f t="shared" si="7"/>
        <v>111</v>
      </c>
      <c r="AA14" s="774">
        <f t="shared" si="3"/>
        <v>1</v>
      </c>
      <c r="AB14" s="774">
        <f t="shared" si="4"/>
        <v>1</v>
      </c>
      <c r="AC14" s="774">
        <f t="shared" si="5"/>
        <v>1</v>
      </c>
    </row>
    <row r="15" spans="1:29" ht="57">
      <c r="A15" s="441" t="s">
        <v>2559</v>
      </c>
      <c r="B15" s="69" t="s">
        <v>2703</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321" t="s">
        <v>2560</v>
      </c>
      <c r="Q15" s="1815" t="str">
        <f t="shared" si="6"/>
        <v>产业集聚程度</v>
      </c>
      <c r="R15" s="775" t="s">
        <v>17</v>
      </c>
      <c r="S15" s="776">
        <f t="shared" si="0"/>
        <v>100</v>
      </c>
      <c r="T15" s="775" t="s">
        <v>17</v>
      </c>
      <c r="U15" s="776">
        <f t="shared" si="1"/>
        <v>100</v>
      </c>
      <c r="V15" s="775" t="s">
        <v>17</v>
      </c>
      <c r="W15" s="776">
        <f t="shared" si="2"/>
        <v>100</v>
      </c>
      <c r="X15" s="1818"/>
      <c r="Y15" s="3321" t="s">
        <v>2560</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322"/>
      <c r="Q16" s="1815"/>
      <c r="R16" s="775"/>
      <c r="S16" s="776"/>
      <c r="T16" s="775"/>
      <c r="U16" s="776"/>
      <c r="V16" s="775"/>
      <c r="W16" s="776"/>
      <c r="X16" s="1818"/>
      <c r="Y16" s="3322"/>
      <c r="Z16" s="1819"/>
      <c r="AA16" s="1816">
        <v>1</v>
      </c>
      <c r="AB16" s="1816">
        <v>1</v>
      </c>
      <c r="AC16" s="1816">
        <v>1</v>
      </c>
    </row>
    <row r="17" spans="1:29" ht="85.5">
      <c r="A17" s="429"/>
      <c r="B17" s="452" t="s">
        <v>2098</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322"/>
      <c r="Q17" s="1815" t="str">
        <f>B17</f>
        <v>交通便捷度</v>
      </c>
      <c r="R17" s="775" t="s">
        <v>17</v>
      </c>
      <c r="S17" s="776">
        <f>F17</f>
        <v>100</v>
      </c>
      <c r="T17" s="775" t="s">
        <v>17</v>
      </c>
      <c r="U17" s="776">
        <f>H17</f>
        <v>100</v>
      </c>
      <c r="V17" s="775" t="s">
        <v>17</v>
      </c>
      <c r="W17" s="776">
        <f>J17</f>
        <v>100</v>
      </c>
      <c r="X17" s="1818"/>
      <c r="Y17" s="3322"/>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43"/>
      <c r="P18" s="3322"/>
      <c r="Q18" s="1815"/>
      <c r="R18" s="775"/>
      <c r="S18" s="776"/>
      <c r="T18" s="775"/>
      <c r="U18" s="776"/>
      <c r="V18" s="775"/>
      <c r="W18" s="776"/>
      <c r="X18" s="1818"/>
      <c r="Y18" s="3322"/>
      <c r="Z18" s="1819"/>
      <c r="AA18" s="1816">
        <v>1</v>
      </c>
      <c r="AB18" s="1816">
        <v>1</v>
      </c>
      <c r="AC18" s="1816">
        <v>1</v>
      </c>
    </row>
    <row r="19" spans="1:29" ht="42.75">
      <c r="A19" s="429"/>
      <c r="B19" s="452" t="s">
        <v>2688</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322"/>
      <c r="Q19" s="1815" t="str">
        <f>B19</f>
        <v>公共配套设施</v>
      </c>
      <c r="R19" s="775" t="s">
        <v>17</v>
      </c>
      <c r="S19" s="776">
        <f>F19</f>
        <v>100</v>
      </c>
      <c r="T19" s="775" t="s">
        <v>17</v>
      </c>
      <c r="U19" s="776">
        <f>H19</f>
        <v>100</v>
      </c>
      <c r="V19" s="775" t="s">
        <v>17</v>
      </c>
      <c r="W19" s="776">
        <f>J19</f>
        <v>100</v>
      </c>
      <c r="X19" s="1818"/>
      <c r="Y19" s="3322"/>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43"/>
      <c r="P20" s="3322"/>
      <c r="Q20" s="1815"/>
      <c r="R20" s="775"/>
      <c r="S20" s="776"/>
      <c r="T20" s="775"/>
      <c r="U20" s="776"/>
      <c r="V20" s="775"/>
      <c r="W20" s="776"/>
      <c r="X20" s="1818"/>
      <c r="Y20" s="3322"/>
      <c r="Z20" s="1819"/>
      <c r="AA20" s="1816">
        <v>1</v>
      </c>
      <c r="AB20" s="1816">
        <v>1</v>
      </c>
      <c r="AC20" s="1816">
        <v>1</v>
      </c>
    </row>
    <row r="21" spans="1:29" ht="28.5">
      <c r="A21" s="429"/>
      <c r="B21" s="1388" t="s">
        <v>2689</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322"/>
      <c r="Q21" s="1815" t="str">
        <f>B21</f>
        <v>基础设施水平</v>
      </c>
      <c r="R21" s="775" t="s">
        <v>17</v>
      </c>
      <c r="S21" s="776">
        <f>F21</f>
        <v>100</v>
      </c>
      <c r="T21" s="775" t="s">
        <v>17</v>
      </c>
      <c r="U21" s="776">
        <f>H21</f>
        <v>100</v>
      </c>
      <c r="V21" s="775" t="s">
        <v>17</v>
      </c>
      <c r="W21" s="776">
        <f>J21</f>
        <v>100</v>
      </c>
      <c r="X21" s="1818"/>
      <c r="Y21" s="3322"/>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43"/>
      <c r="P22" s="3322"/>
      <c r="Q22" s="1815"/>
      <c r="R22" s="775"/>
      <c r="S22" s="776"/>
      <c r="T22" s="775"/>
      <c r="U22" s="776"/>
      <c r="V22" s="775"/>
      <c r="W22" s="776"/>
      <c r="X22" s="1818"/>
      <c r="Y22" s="3322"/>
      <c r="Z22" s="1819"/>
      <c r="AA22" s="1816">
        <v>1</v>
      </c>
      <c r="AB22" s="1816">
        <v>1</v>
      </c>
      <c r="AC22" s="1816">
        <v>1</v>
      </c>
    </row>
    <row r="23" spans="1:29" ht="71.25">
      <c r="A23" s="429"/>
      <c r="B23" s="452" t="s">
        <v>2690</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322"/>
      <c r="Q23" s="1815" t="str">
        <f>B23</f>
        <v>环境质量</v>
      </c>
      <c r="R23" s="775" t="s">
        <v>17</v>
      </c>
      <c r="S23" s="776">
        <f>F23</f>
        <v>100</v>
      </c>
      <c r="T23" s="775" t="s">
        <v>17</v>
      </c>
      <c r="U23" s="776">
        <f>H23</f>
        <v>100</v>
      </c>
      <c r="V23" s="775" t="s">
        <v>17</v>
      </c>
      <c r="W23" s="776">
        <f>J23</f>
        <v>100</v>
      </c>
      <c r="X23" s="1818"/>
      <c r="Y23" s="3322"/>
      <c r="Z23" s="1819" t="str">
        <f>Q23</f>
        <v>环境质量</v>
      </c>
      <c r="AA23" s="1816">
        <f t="shared" si="3"/>
        <v>1</v>
      </c>
      <c r="AB23" s="1816">
        <f t="shared" si="4"/>
        <v>1</v>
      </c>
      <c r="AC23" s="1816">
        <f t="shared" si="5"/>
        <v>1</v>
      </c>
    </row>
    <row r="24" spans="1:29" ht="15">
      <c r="A24" s="429"/>
      <c r="B24" s="1388"/>
      <c r="C24" s="448"/>
      <c r="D24" s="449"/>
      <c r="E24" s="2608"/>
      <c r="F24" s="450"/>
      <c r="G24" s="2607"/>
      <c r="H24" s="449"/>
      <c r="I24" s="2608"/>
      <c r="J24" s="449"/>
      <c r="K24" s="616"/>
      <c r="L24" s="1144"/>
      <c r="M24" s="1135"/>
      <c r="N24" s="1135"/>
      <c r="O24" s="1143"/>
      <c r="P24" s="3322"/>
      <c r="Q24" s="1815"/>
      <c r="R24" s="775"/>
      <c r="S24" s="776"/>
      <c r="T24" s="775"/>
      <c r="U24" s="776"/>
      <c r="V24" s="775"/>
      <c r="W24" s="776"/>
      <c r="X24" s="1818"/>
      <c r="Y24" s="3322"/>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322"/>
      <c r="Q25" s="1815">
        <f>B25</f>
        <v>111</v>
      </c>
      <c r="R25" s="775" t="s">
        <v>17</v>
      </c>
      <c r="S25" s="776">
        <f>F25</f>
        <v>100</v>
      </c>
      <c r="T25" s="775" t="s">
        <v>17</v>
      </c>
      <c r="U25" s="776">
        <f>H25</f>
        <v>100</v>
      </c>
      <c r="V25" s="775" t="s">
        <v>17</v>
      </c>
      <c r="W25" s="776">
        <f>J25</f>
        <v>100</v>
      </c>
      <c r="X25" s="1818"/>
      <c r="Y25" s="3322"/>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322"/>
      <c r="Q26" s="1815">
        <f t="shared" ref="Q26:Q40" si="11">B26</f>
        <v>111</v>
      </c>
      <c r="R26" s="775" t="s">
        <v>17</v>
      </c>
      <c r="S26" s="776">
        <f>F26</f>
        <v>100</v>
      </c>
      <c r="T26" s="775" t="s">
        <v>17</v>
      </c>
      <c r="U26" s="776">
        <f>H26</f>
        <v>100</v>
      </c>
      <c r="V26" s="775" t="s">
        <v>17</v>
      </c>
      <c r="W26" s="776">
        <f>J26</f>
        <v>100</v>
      </c>
      <c r="X26" s="1818"/>
      <c r="Y26" s="3322"/>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322"/>
      <c r="Q27" s="1800">
        <f t="shared" si="11"/>
        <v>111</v>
      </c>
      <c r="R27" s="771" t="s">
        <v>17</v>
      </c>
      <c r="S27" s="772">
        <f>F27</f>
        <v>100</v>
      </c>
      <c r="T27" s="771" t="s">
        <v>17</v>
      </c>
      <c r="U27" s="772">
        <f>H27</f>
        <v>100</v>
      </c>
      <c r="V27" s="771" t="s">
        <v>17</v>
      </c>
      <c r="W27" s="772">
        <f>J27</f>
        <v>100</v>
      </c>
      <c r="X27" s="773"/>
      <c r="Y27" s="3322"/>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322"/>
      <c r="Q28" s="1815">
        <f t="shared" si="11"/>
        <v>111</v>
      </c>
      <c r="R28" s="775" t="s">
        <v>17</v>
      </c>
      <c r="S28" s="776">
        <f t="shared" ref="S28:S40" si="12">F28</f>
        <v>100</v>
      </c>
      <c r="T28" s="775" t="s">
        <v>17</v>
      </c>
      <c r="U28" s="776">
        <f t="shared" ref="U28:U40" si="13">H28</f>
        <v>100</v>
      </c>
      <c r="V28" s="775" t="s">
        <v>17</v>
      </c>
      <c r="W28" s="776">
        <f t="shared" ref="W28:W40" si="14">J28</f>
        <v>100</v>
      </c>
      <c r="X28" s="1818"/>
      <c r="Y28" s="3322"/>
      <c r="Z28" s="1819">
        <f t="shared" ref="Z28:Z40" si="15">Q28</f>
        <v>111</v>
      </c>
      <c r="AA28" s="1816">
        <f t="shared" si="3"/>
        <v>1</v>
      </c>
      <c r="AB28" s="1816">
        <f t="shared" si="4"/>
        <v>1</v>
      </c>
      <c r="AC28" s="1816">
        <f t="shared" si="5"/>
        <v>1</v>
      </c>
    </row>
    <row r="29" spans="1:29" ht="15">
      <c r="A29" s="467" t="s">
        <v>2563</v>
      </c>
      <c r="B29" s="71" t="s">
        <v>2693</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409" t="s">
        <v>2565</v>
      </c>
      <c r="Q29" s="1815" t="str">
        <f t="shared" si="11"/>
        <v>建筑类型</v>
      </c>
      <c r="R29" s="775" t="s">
        <v>17</v>
      </c>
      <c r="S29" s="776">
        <f t="shared" si="12"/>
        <v>100</v>
      </c>
      <c r="T29" s="775" t="s">
        <v>17</v>
      </c>
      <c r="U29" s="776">
        <f t="shared" si="13"/>
        <v>100</v>
      </c>
      <c r="V29" s="775" t="s">
        <v>17</v>
      </c>
      <c r="W29" s="776">
        <f t="shared" si="14"/>
        <v>100</v>
      </c>
      <c r="X29" s="1818"/>
      <c r="Y29" s="3326" t="s">
        <v>2565</v>
      </c>
      <c r="Z29" s="1819" t="str">
        <f t="shared" si="15"/>
        <v>建筑类型</v>
      </c>
      <c r="AA29" s="1816">
        <f t="shared" si="3"/>
        <v>1</v>
      </c>
      <c r="AB29" s="1816">
        <f t="shared" si="4"/>
        <v>1</v>
      </c>
      <c r="AC29" s="1816">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326"/>
      <c r="Q30" s="777" t="str">
        <f t="shared" si="11"/>
        <v>项目建筑规模</v>
      </c>
      <c r="R30" s="778" t="s">
        <v>17</v>
      </c>
      <c r="S30" s="779" t="e">
        <f t="shared" si="12"/>
        <v>#N/A</v>
      </c>
      <c r="T30" s="778" t="s">
        <v>17</v>
      </c>
      <c r="U30" s="779" t="e">
        <f t="shared" si="13"/>
        <v>#N/A</v>
      </c>
      <c r="V30" s="778" t="s">
        <v>17</v>
      </c>
      <c r="W30" s="779" t="e">
        <f t="shared" si="14"/>
        <v>#N/A</v>
      </c>
      <c r="X30" s="780"/>
      <c r="Y30" s="3326"/>
      <c r="Z30" s="781" t="str">
        <f t="shared" si="15"/>
        <v>项目建筑规模</v>
      </c>
      <c r="AA30" s="1816" t="e">
        <f t="shared" si="3"/>
        <v>#N/A</v>
      </c>
      <c r="AB30" s="1816" t="e">
        <f t="shared" si="4"/>
        <v>#N/A</v>
      </c>
      <c r="AC30" s="1816"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326"/>
      <c r="Q31" s="1815" t="str">
        <f t="shared" si="11"/>
        <v>建筑结构</v>
      </c>
      <c r="R31" s="775" t="s">
        <v>17</v>
      </c>
      <c r="S31" s="776">
        <f t="shared" si="12"/>
        <v>100</v>
      </c>
      <c r="T31" s="775" t="s">
        <v>17</v>
      </c>
      <c r="U31" s="776">
        <f t="shared" si="13"/>
        <v>100</v>
      </c>
      <c r="V31" s="775" t="s">
        <v>17</v>
      </c>
      <c r="W31" s="776">
        <f t="shared" si="14"/>
        <v>100</v>
      </c>
      <c r="X31" s="1818"/>
      <c r="Y31" s="3326"/>
      <c r="Z31" s="1819" t="str">
        <f t="shared" si="15"/>
        <v>建筑结构</v>
      </c>
      <c r="AA31" s="1816">
        <f t="shared" si="3"/>
        <v>1</v>
      </c>
      <c r="AB31" s="1816">
        <f t="shared" si="4"/>
        <v>1</v>
      </c>
      <c r="AC31" s="1816">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326"/>
      <c r="Q32" s="1815" t="str">
        <f t="shared" si="11"/>
        <v>公共部分装修</v>
      </c>
      <c r="R32" s="775" t="s">
        <v>17</v>
      </c>
      <c r="S32" s="776">
        <f t="shared" si="12"/>
        <v>100</v>
      </c>
      <c r="T32" s="775" t="s">
        <v>17</v>
      </c>
      <c r="U32" s="776">
        <f t="shared" si="13"/>
        <v>100</v>
      </c>
      <c r="V32" s="775" t="s">
        <v>17</v>
      </c>
      <c r="W32" s="776">
        <f t="shared" si="14"/>
        <v>100</v>
      </c>
      <c r="X32" s="1818"/>
      <c r="Y32" s="3326"/>
      <c r="Z32" s="1819" t="str">
        <f t="shared" si="15"/>
        <v>公共部分装修</v>
      </c>
      <c r="AA32" s="1816">
        <f t="shared" si="3"/>
        <v>1</v>
      </c>
      <c r="AB32" s="1816">
        <f t="shared" si="4"/>
        <v>1</v>
      </c>
      <c r="AC32" s="1816">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326"/>
      <c r="Q33" s="1815" t="str">
        <f t="shared" si="11"/>
        <v>成新度</v>
      </c>
      <c r="R33" s="775" t="s">
        <v>17</v>
      </c>
      <c r="S33" s="776" t="e">
        <f t="shared" si="12"/>
        <v>#N/A</v>
      </c>
      <c r="T33" s="775" t="s">
        <v>17</v>
      </c>
      <c r="U33" s="776" t="e">
        <f t="shared" si="13"/>
        <v>#N/A</v>
      </c>
      <c r="V33" s="775" t="s">
        <v>17</v>
      </c>
      <c r="W33" s="776" t="e">
        <f t="shared" si="14"/>
        <v>#N/A</v>
      </c>
      <c r="X33" s="1818"/>
      <c r="Y33" s="3326"/>
      <c r="Z33" s="1819" t="str">
        <f t="shared" si="15"/>
        <v>成新度</v>
      </c>
      <c r="AA33" s="1816" t="e">
        <f t="shared" si="3"/>
        <v>#N/A</v>
      </c>
      <c r="AB33" s="1816" t="e">
        <f t="shared" si="4"/>
        <v>#N/A</v>
      </c>
      <c r="AC33" s="1816"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326"/>
      <c r="Q34" s="1800" t="str">
        <f t="shared" si="11"/>
        <v>物业管理</v>
      </c>
      <c r="R34" s="771" t="s">
        <v>17</v>
      </c>
      <c r="S34" s="772">
        <f t="shared" si="12"/>
        <v>100</v>
      </c>
      <c r="T34" s="771" t="s">
        <v>17</v>
      </c>
      <c r="U34" s="772">
        <f t="shared" si="13"/>
        <v>100</v>
      </c>
      <c r="V34" s="771" t="s">
        <v>17</v>
      </c>
      <c r="W34" s="772">
        <f t="shared" si="14"/>
        <v>100</v>
      </c>
      <c r="X34" s="773"/>
      <c r="Y34" s="3326"/>
      <c r="Z34" s="55" t="str">
        <f t="shared" si="15"/>
        <v>物业管理</v>
      </c>
      <c r="AA34" s="774">
        <f t="shared" si="3"/>
        <v>1</v>
      </c>
      <c r="AB34" s="774">
        <f t="shared" si="4"/>
        <v>1</v>
      </c>
      <c r="AC34" s="774">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326" t="s">
        <v>2565</v>
      </c>
      <c r="Q35" s="1815" t="str">
        <f t="shared" si="11"/>
        <v>市政基础设施</v>
      </c>
      <c r="R35" s="775" t="s">
        <v>17</v>
      </c>
      <c r="S35" s="776">
        <f t="shared" si="12"/>
        <v>100</v>
      </c>
      <c r="T35" s="775" t="s">
        <v>17</v>
      </c>
      <c r="U35" s="776">
        <f t="shared" si="13"/>
        <v>100</v>
      </c>
      <c r="V35" s="775" t="s">
        <v>17</v>
      </c>
      <c r="W35" s="776">
        <f t="shared" si="14"/>
        <v>100</v>
      </c>
      <c r="X35" s="1818"/>
      <c r="Y35" s="3326" t="s">
        <v>2565</v>
      </c>
      <c r="Z35" s="1819" t="str">
        <f t="shared" si="15"/>
        <v>市政基础设施</v>
      </c>
      <c r="AA35" s="1816">
        <f t="shared" si="3"/>
        <v>1</v>
      </c>
      <c r="AB35" s="1816">
        <f t="shared" si="4"/>
        <v>1</v>
      </c>
      <c r="AC35" s="1816">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326"/>
      <c r="Q36" s="1815" t="str">
        <f t="shared" si="11"/>
        <v>内部装修</v>
      </c>
      <c r="R36" s="775" t="s">
        <v>17</v>
      </c>
      <c r="S36" s="776">
        <f t="shared" si="12"/>
        <v>100</v>
      </c>
      <c r="T36" s="775" t="s">
        <v>17</v>
      </c>
      <c r="U36" s="776">
        <f t="shared" si="13"/>
        <v>100</v>
      </c>
      <c r="V36" s="775" t="s">
        <v>17</v>
      </c>
      <c r="W36" s="776">
        <f t="shared" si="14"/>
        <v>100</v>
      </c>
      <c r="X36" s="1818"/>
      <c r="Y36" s="3326"/>
      <c r="Z36" s="1819" t="str">
        <f t="shared" si="15"/>
        <v>内部装修</v>
      </c>
      <c r="AA36" s="1816">
        <f t="shared" si="3"/>
        <v>1</v>
      </c>
      <c r="AB36" s="1816">
        <f t="shared" si="4"/>
        <v>1</v>
      </c>
      <c r="AC36" s="1816">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326"/>
      <c r="Q37" s="1815" t="str">
        <f t="shared" si="11"/>
        <v>内部装修状况</v>
      </c>
      <c r="R37" s="775" t="s">
        <v>17</v>
      </c>
      <c r="S37" s="776">
        <f t="shared" si="12"/>
        <v>100</v>
      </c>
      <c r="T37" s="775" t="s">
        <v>17</v>
      </c>
      <c r="U37" s="776">
        <f t="shared" si="13"/>
        <v>100</v>
      </c>
      <c r="V37" s="775" t="s">
        <v>17</v>
      </c>
      <c r="W37" s="776">
        <f t="shared" si="14"/>
        <v>100</v>
      </c>
      <c r="X37" s="1818"/>
      <c r="Y37" s="3326"/>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326"/>
      <c r="Q38" s="777">
        <f t="shared" si="11"/>
        <v>111</v>
      </c>
      <c r="R38" s="778" t="s">
        <v>17</v>
      </c>
      <c r="S38" s="779">
        <f t="shared" si="12"/>
        <v>100</v>
      </c>
      <c r="T38" s="778" t="s">
        <v>17</v>
      </c>
      <c r="U38" s="779">
        <f t="shared" si="13"/>
        <v>100</v>
      </c>
      <c r="V38" s="778" t="s">
        <v>17</v>
      </c>
      <c r="W38" s="779">
        <f t="shared" si="14"/>
        <v>100</v>
      </c>
      <c r="X38" s="780"/>
      <c r="Y38" s="3326"/>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326"/>
      <c r="Q39" s="1815">
        <f t="shared" si="11"/>
        <v>111</v>
      </c>
      <c r="R39" s="775" t="s">
        <v>17</v>
      </c>
      <c r="S39" s="776">
        <f t="shared" si="12"/>
        <v>100</v>
      </c>
      <c r="T39" s="775" t="s">
        <v>17</v>
      </c>
      <c r="U39" s="776">
        <f t="shared" si="13"/>
        <v>100</v>
      </c>
      <c r="V39" s="775" t="s">
        <v>17</v>
      </c>
      <c r="W39" s="776">
        <f t="shared" si="14"/>
        <v>100</v>
      </c>
      <c r="X39" s="1818"/>
      <c r="Y39" s="3326"/>
      <c r="Z39" s="1819">
        <f t="shared" si="15"/>
        <v>111</v>
      </c>
      <c r="AA39" s="1816">
        <f t="shared" si="3"/>
        <v>1</v>
      </c>
      <c r="AB39" s="1816">
        <f t="shared" si="4"/>
        <v>1</v>
      </c>
      <c r="AC39" s="1816">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327"/>
      <c r="Q40" s="1815">
        <f t="shared" si="11"/>
        <v>111</v>
      </c>
      <c r="R40" s="775" t="s">
        <v>17</v>
      </c>
      <c r="S40" s="776">
        <f t="shared" si="12"/>
        <v>100</v>
      </c>
      <c r="T40" s="775" t="s">
        <v>17</v>
      </c>
      <c r="U40" s="776">
        <f t="shared" si="13"/>
        <v>100</v>
      </c>
      <c r="V40" s="775" t="s">
        <v>17</v>
      </c>
      <c r="W40" s="776">
        <f t="shared" si="14"/>
        <v>100</v>
      </c>
      <c r="X40" s="1818"/>
      <c r="Y40" s="3327"/>
      <c r="Z40" s="1819">
        <f t="shared" si="15"/>
        <v>111</v>
      </c>
      <c r="AA40" s="1816">
        <f t="shared" si="3"/>
        <v>1</v>
      </c>
      <c r="AB40" s="1816">
        <f t="shared" si="4"/>
        <v>1</v>
      </c>
      <c r="AC40" s="1816">
        <f t="shared" si="5"/>
        <v>1</v>
      </c>
    </row>
    <row r="41" spans="1:29" ht="15">
      <c r="A41" s="480" t="s">
        <v>2577</v>
      </c>
      <c r="B41" s="481"/>
      <c r="C41" s="1411" t="s">
        <v>1</v>
      </c>
      <c r="D41" s="1412"/>
      <c r="E41" s="1413"/>
      <c r="F41" s="1414"/>
      <c r="G41" s="1415"/>
      <c r="H41" s="1416"/>
      <c r="I41" s="1413"/>
      <c r="J41" s="1416"/>
      <c r="K41" s="784"/>
      <c r="L41" s="1147"/>
      <c r="M41" s="1148"/>
      <c r="N41" s="1135"/>
      <c r="O41" s="1148"/>
      <c r="P41" s="3314" t="str">
        <f>A41</f>
        <v>成交单价（元/平方米）</v>
      </c>
      <c r="Q41" s="3314"/>
      <c r="R41" s="3315">
        <f>E41</f>
        <v>0</v>
      </c>
      <c r="S41" s="3315"/>
      <c r="T41" s="3315">
        <f>G41</f>
        <v>0</v>
      </c>
      <c r="U41" s="3315"/>
      <c r="V41" s="3315">
        <f>I41</f>
        <v>0</v>
      </c>
      <c r="W41" s="3315"/>
      <c r="X41" s="760"/>
      <c r="Y41" s="782"/>
      <c r="Z41" s="760"/>
      <c r="AA41" s="760"/>
      <c r="AB41" s="760"/>
      <c r="AC41" s="760"/>
    </row>
    <row r="42" spans="1:29" ht="15.75" thickBot="1">
      <c r="A42" s="487" t="s">
        <v>2669</v>
      </c>
      <c r="B42" s="488"/>
      <c r="C42" s="1417" t="e">
        <f>R43</f>
        <v>#DIV/0!</v>
      </c>
      <c r="D42" s="1418"/>
      <c r="E42" s="1419" t="e">
        <f>R42</f>
        <v>#DIV/0!</v>
      </c>
      <c r="F42" s="1419"/>
      <c r="G42" s="1417" t="e">
        <f>T42</f>
        <v>#DIV/0!</v>
      </c>
      <c r="H42" s="1418"/>
      <c r="I42" s="1419" t="e">
        <f>V42</f>
        <v>#DIV/0!</v>
      </c>
      <c r="J42" s="1418"/>
      <c r="K42" s="785"/>
      <c r="L42" s="1147"/>
      <c r="M42" s="1148"/>
      <c r="N42" s="1135"/>
      <c r="O42" s="1148"/>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760"/>
      <c r="Y42" s="760"/>
      <c r="Z42" s="760"/>
      <c r="AA42" s="760"/>
      <c r="AB42" s="760"/>
      <c r="AC42" s="760"/>
    </row>
    <row r="43" spans="1:29" ht="15.75" thickBot="1">
      <c r="A43" s="493" t="s">
        <v>2670</v>
      </c>
      <c r="B43" s="494"/>
      <c r="C43" s="1421" t="e">
        <f>R43</f>
        <v>#DIV/0!</v>
      </c>
      <c r="D43" s="1421"/>
      <c r="E43" s="1421"/>
      <c r="F43" s="1421"/>
      <c r="G43" s="1421"/>
      <c r="H43" s="1421"/>
      <c r="I43" s="1421"/>
      <c r="J43" s="1421"/>
      <c r="K43" s="786"/>
      <c r="L43" s="1147"/>
      <c r="M43" s="1148"/>
      <c r="N43" s="1148"/>
      <c r="O43" s="1148"/>
      <c r="P43" s="3377" t="str">
        <f>A43</f>
        <v>估价对象XX用房的比较价值（楼面单价，元/平方米）</v>
      </c>
      <c r="Q43" s="3378"/>
      <c r="R43" s="3379" t="e">
        <f>IF(F1="售价",ROUND(AVERAGE(R42:V42),0),ROUND(AVERAGE(R42:V42),1))</f>
        <v>#DIV/0!</v>
      </c>
      <c r="S43" s="3379"/>
      <c r="T43" s="3379"/>
      <c r="U43" s="3379"/>
      <c r="V43" s="3379"/>
      <c r="W43" s="3379"/>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2674</v>
      </c>
      <c r="B51" s="760"/>
      <c r="C51" s="765"/>
      <c r="D51" s="765"/>
      <c r="E51" s="765"/>
      <c r="F51" s="766"/>
      <c r="G51" s="766"/>
      <c r="H51" s="765"/>
      <c r="I51" s="765"/>
      <c r="J51" s="765"/>
      <c r="K51" s="1164"/>
      <c r="L51" s="1165"/>
      <c r="M51" s="1163"/>
      <c r="N51" s="1163"/>
      <c r="O51" s="1163"/>
      <c r="P51" s="504"/>
      <c r="Q51" s="505"/>
    </row>
    <row r="52" spans="1:17" s="509" customFormat="1" ht="15">
      <c r="A52" s="506" t="s">
        <v>2548</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2588</v>
      </c>
      <c r="B57" s="529" t="s">
        <v>2554</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2563</v>
      </c>
      <c r="B88" s="529" t="s">
        <v>2612</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2614</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2616</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1996</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2617</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2618</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2620</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27"/>
      <c r="F1" s="2587"/>
      <c r="G1" s="1628" t="s">
        <v>2643</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2330</v>
      </c>
      <c r="B2" s="1422" t="e">
        <f ca="1">IF(C2="——",IF(B37="元/平方米",ROUND(C39*D3/10000,0),ROUND(F3*C39/10000,0)),IF(B37="元/平方米",ROUND(C39*D3/10000,0),ROUND(F3*C39/10000,0))-D2)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2644</v>
      </c>
      <c r="D3" s="400">
        <f>SUMIF('数据-汇总表'!$C19:$C33,D1,'数据-汇总表'!$E19:$E33)</f>
        <v>0</v>
      </c>
      <c r="E3" s="401" t="s">
        <v>2708</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29"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SUMIF(48:48,YEAR(E7)&amp;"-"&amp;MONTH(E7),49:49)</f>
        <v>0</v>
      </c>
      <c r="G7" s="413"/>
      <c r="H7" s="412">
        <f>SUMIF(48:48,YEAR(G7)&amp;"-"&amp;MONTH(G7),49:49)</f>
        <v>0</v>
      </c>
      <c r="I7" s="413"/>
      <c r="J7" s="412">
        <f>SUMIF(48:48,YEAR(I7)&amp;"-"&amp;MONTH(I7),49:49)</f>
        <v>0</v>
      </c>
      <c r="K7" s="612"/>
      <c r="L7" s="1136"/>
      <c r="M7" s="1137"/>
      <c r="N7" s="1137"/>
      <c r="O7" s="1137"/>
      <c r="P7" s="3355" t="s">
        <v>2549</v>
      </c>
      <c r="Q7" s="3356"/>
      <c r="R7" s="771" t="s">
        <v>17</v>
      </c>
      <c r="S7" s="772">
        <f t="shared" ref="S7:S14" si="0">F7</f>
        <v>0</v>
      </c>
      <c r="T7" s="771" t="s">
        <v>17</v>
      </c>
      <c r="U7" s="772">
        <f t="shared" ref="U7:U14" si="1">H7</f>
        <v>0</v>
      </c>
      <c r="V7" s="771" t="s">
        <v>17</v>
      </c>
      <c r="W7" s="772">
        <f t="shared" ref="W7:W14" si="2">J7</f>
        <v>0</v>
      </c>
      <c r="X7" s="773"/>
      <c r="Y7" s="3355" t="s">
        <v>2549</v>
      </c>
      <c r="Z7" s="3354"/>
      <c r="AA7" s="774" t="e">
        <f>D7/F7</f>
        <v>#DIV/0!</v>
      </c>
      <c r="AB7" s="774" t="e">
        <f>D7/H7</f>
        <v>#DIV/0!</v>
      </c>
      <c r="AC7" s="774"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36" si="3">D8/F8</f>
        <v>#DIV/0!</v>
      </c>
      <c r="AB8" s="774" t="e">
        <f t="shared" ref="AB8:AB36" si="4">D8/H8</f>
        <v>#DIV/0!</v>
      </c>
      <c r="AC8" s="774"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314" t="s">
        <v>2555</v>
      </c>
      <c r="Q9" s="1800" t="str">
        <f t="shared" ref="Q9:Q14" si="6">B9</f>
        <v>用途</v>
      </c>
      <c r="R9" s="771" t="s">
        <v>17</v>
      </c>
      <c r="S9" s="772">
        <f t="shared" si="0"/>
        <v>100</v>
      </c>
      <c r="T9" s="771" t="s">
        <v>17</v>
      </c>
      <c r="U9" s="772">
        <f t="shared" si="1"/>
        <v>100</v>
      </c>
      <c r="V9" s="771" t="s">
        <v>17</v>
      </c>
      <c r="W9" s="772">
        <f t="shared" si="2"/>
        <v>100</v>
      </c>
      <c r="X9" s="773"/>
      <c r="Y9" s="3148" t="s">
        <v>2556</v>
      </c>
      <c r="Z9" s="55" t="str">
        <f t="shared" ref="Z9:Z14" si="7">Q9</f>
        <v>用途</v>
      </c>
      <c r="AA9" s="774">
        <f t="shared" si="3"/>
        <v>1</v>
      </c>
      <c r="AB9" s="774">
        <f t="shared" si="4"/>
        <v>1</v>
      </c>
      <c r="AC9" s="774">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314"/>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314"/>
      <c r="Q11" s="1800">
        <f t="shared" si="6"/>
        <v>111</v>
      </c>
      <c r="R11" s="771" t="s">
        <v>17</v>
      </c>
      <c r="S11" s="772">
        <f t="shared" si="0"/>
        <v>100</v>
      </c>
      <c r="T11" s="771" t="s">
        <v>17</v>
      </c>
      <c r="U11" s="772">
        <f t="shared" si="1"/>
        <v>100</v>
      </c>
      <c r="V11" s="771" t="s">
        <v>17</v>
      </c>
      <c r="W11" s="772">
        <f t="shared" si="2"/>
        <v>100</v>
      </c>
      <c r="X11" s="773"/>
      <c r="Y11" s="3148"/>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314"/>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85.5">
      <c r="A14" s="402" t="s">
        <v>2559</v>
      </c>
      <c r="B14" s="630" t="s">
        <v>2709</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321" t="s">
        <v>2560</v>
      </c>
      <c r="Q14" s="1815" t="str">
        <f t="shared" si="6"/>
        <v>交通便捷度</v>
      </c>
      <c r="R14" s="775" t="s">
        <v>17</v>
      </c>
      <c r="S14" s="776">
        <f t="shared" si="0"/>
        <v>100</v>
      </c>
      <c r="T14" s="775" t="s">
        <v>17</v>
      </c>
      <c r="U14" s="776">
        <f t="shared" si="1"/>
        <v>100</v>
      </c>
      <c r="V14" s="775" t="s">
        <v>17</v>
      </c>
      <c r="W14" s="776">
        <f t="shared" si="2"/>
        <v>100</v>
      </c>
      <c r="X14" s="1818"/>
      <c r="Y14" s="3321" t="s">
        <v>2560</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322"/>
      <c r="Q15" s="1815"/>
      <c r="R15" s="775"/>
      <c r="S15" s="776"/>
      <c r="T15" s="775"/>
      <c r="U15" s="776"/>
      <c r="V15" s="775"/>
      <c r="W15" s="776"/>
      <c r="X15" s="1818"/>
      <c r="Y15" s="3322"/>
      <c r="Z15" s="1819"/>
      <c r="AA15" s="1816">
        <v>1</v>
      </c>
      <c r="AB15" s="1816">
        <v>1</v>
      </c>
      <c r="AC15" s="1816">
        <v>1</v>
      </c>
    </row>
    <row r="16" spans="1:29" ht="42.75">
      <c r="A16" s="405"/>
      <c r="B16" s="632" t="s">
        <v>2688</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322"/>
      <c r="Q16" s="1815" t="str">
        <f>B16</f>
        <v>公共配套设施</v>
      </c>
      <c r="R16" s="775" t="s">
        <v>17</v>
      </c>
      <c r="S16" s="776">
        <f>F16</f>
        <v>100</v>
      </c>
      <c r="T16" s="775" t="s">
        <v>17</v>
      </c>
      <c r="U16" s="776">
        <f>H16</f>
        <v>100</v>
      </c>
      <c r="V16" s="775" t="s">
        <v>17</v>
      </c>
      <c r="W16" s="776">
        <f>J16</f>
        <v>100</v>
      </c>
      <c r="X16" s="1818"/>
      <c r="Y16" s="3322"/>
      <c r="Z16" s="1819" t="str">
        <f>Q16</f>
        <v>公共配套设施</v>
      </c>
      <c r="AA16" s="1816">
        <f t="shared" si="3"/>
        <v>1</v>
      </c>
      <c r="AB16" s="1816">
        <f t="shared" si="4"/>
        <v>1</v>
      </c>
      <c r="AC16" s="1816">
        <f t="shared" si="5"/>
        <v>1</v>
      </c>
    </row>
    <row r="17" spans="1:29" ht="15">
      <c r="A17" s="405"/>
      <c r="B17" s="633"/>
      <c r="C17" s="2611"/>
      <c r="D17" s="449"/>
      <c r="E17" s="448"/>
      <c r="F17" s="450"/>
      <c r="G17" s="448"/>
      <c r="H17" s="449"/>
      <c r="I17" s="448"/>
      <c r="J17" s="449"/>
      <c r="K17" s="616"/>
      <c r="L17" s="1144"/>
      <c r="M17" s="1135"/>
      <c r="N17" s="1135"/>
      <c r="O17" s="1135"/>
      <c r="P17" s="3322"/>
      <c r="Q17" s="1815"/>
      <c r="R17" s="775"/>
      <c r="S17" s="776"/>
      <c r="T17" s="775"/>
      <c r="U17" s="776"/>
      <c r="V17" s="775"/>
      <c r="W17" s="776"/>
      <c r="X17" s="1818"/>
      <c r="Y17" s="3322"/>
      <c r="Z17" s="1819"/>
      <c r="AA17" s="1816">
        <v>1</v>
      </c>
      <c r="AB17" s="1816">
        <v>1</v>
      </c>
      <c r="AC17" s="1816">
        <v>1</v>
      </c>
    </row>
    <row r="18" spans="1:29" ht="28.5">
      <c r="A18" s="405"/>
      <c r="B18" s="634" t="s">
        <v>2689</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322"/>
      <c r="Q18" s="1815" t="str">
        <f>B18</f>
        <v>基础设施水平</v>
      </c>
      <c r="R18" s="775" t="s">
        <v>17</v>
      </c>
      <c r="S18" s="776">
        <f>F18</f>
        <v>100</v>
      </c>
      <c r="T18" s="775" t="s">
        <v>17</v>
      </c>
      <c r="U18" s="776">
        <f>H18</f>
        <v>100</v>
      </c>
      <c r="V18" s="775" t="s">
        <v>17</v>
      </c>
      <c r="W18" s="776">
        <f>J18</f>
        <v>100</v>
      </c>
      <c r="X18" s="1818"/>
      <c r="Y18" s="3322"/>
      <c r="Z18" s="1819" t="str">
        <f>Q18</f>
        <v>基础设施水平</v>
      </c>
      <c r="AA18" s="1816">
        <f t="shared" ref="AA18" si="8">D18/F18</f>
        <v>1</v>
      </c>
      <c r="AB18" s="1816">
        <f t="shared" ref="AB18" si="9">D18/H18</f>
        <v>1</v>
      </c>
      <c r="AC18" s="1816">
        <f t="shared" ref="AC18" si="10">D18/J18</f>
        <v>1</v>
      </c>
    </row>
    <row r="19" spans="1:29" ht="15">
      <c r="A19" s="405"/>
      <c r="B19" s="634"/>
      <c r="C19" s="2611"/>
      <c r="D19" s="451"/>
      <c r="E19" s="2611"/>
      <c r="F19" s="454"/>
      <c r="G19" s="2611"/>
      <c r="H19" s="449"/>
      <c r="I19" s="448"/>
      <c r="J19" s="449"/>
      <c r="K19" s="1387"/>
      <c r="L19" s="1144"/>
      <c r="M19" s="1135"/>
      <c r="N19" s="1135"/>
      <c r="O19" s="1135"/>
      <c r="P19" s="3322"/>
      <c r="Q19" s="1815"/>
      <c r="R19" s="775"/>
      <c r="S19" s="776"/>
      <c r="T19" s="775"/>
      <c r="U19" s="776"/>
      <c r="V19" s="775"/>
      <c r="W19" s="776"/>
      <c r="X19" s="1818"/>
      <c r="Y19" s="3322"/>
      <c r="Z19" s="1819"/>
      <c r="AA19" s="1816">
        <v>1</v>
      </c>
      <c r="AB19" s="1816">
        <v>1</v>
      </c>
      <c r="AC19" s="1816">
        <v>1</v>
      </c>
    </row>
    <row r="20" spans="1:29" ht="57">
      <c r="A20" s="405"/>
      <c r="B20" s="632" t="s">
        <v>2710</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322"/>
      <c r="Q20" s="1815" t="str">
        <f>B20</f>
        <v>自然及人文环境</v>
      </c>
      <c r="R20" s="775" t="s">
        <v>17</v>
      </c>
      <c r="S20" s="776">
        <f>F20</f>
        <v>100</v>
      </c>
      <c r="T20" s="775" t="s">
        <v>17</v>
      </c>
      <c r="U20" s="776">
        <f>H20</f>
        <v>100</v>
      </c>
      <c r="V20" s="775" t="s">
        <v>17</v>
      </c>
      <c r="W20" s="776">
        <f>J20</f>
        <v>100</v>
      </c>
      <c r="X20" s="1818"/>
      <c r="Y20" s="3322"/>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322"/>
      <c r="Q21" s="1815"/>
      <c r="R21" s="775"/>
      <c r="S21" s="776"/>
      <c r="T21" s="775"/>
      <c r="U21" s="776"/>
      <c r="V21" s="775"/>
      <c r="W21" s="776"/>
      <c r="X21" s="1818"/>
      <c r="Y21" s="3322"/>
      <c r="Z21" s="1819"/>
      <c r="AA21" s="1816">
        <v>1</v>
      </c>
      <c r="AB21" s="1816">
        <v>1</v>
      </c>
      <c r="AC21" s="1816">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322"/>
      <c r="Q22" s="1815" t="str">
        <f>B22</f>
        <v>楼层</v>
      </c>
      <c r="R22" s="775" t="s">
        <v>17</v>
      </c>
      <c r="S22" s="776">
        <f>F22</f>
        <v>100</v>
      </c>
      <c r="T22" s="775" t="s">
        <v>17</v>
      </c>
      <c r="U22" s="776">
        <f>H22</f>
        <v>100</v>
      </c>
      <c r="V22" s="775" t="s">
        <v>17</v>
      </c>
      <c r="W22" s="776">
        <f>J22</f>
        <v>100</v>
      </c>
      <c r="X22" s="1818"/>
      <c r="Y22" s="3322"/>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322"/>
      <c r="Q23" s="1815">
        <f>B23</f>
        <v>111</v>
      </c>
      <c r="R23" s="775" t="s">
        <v>17</v>
      </c>
      <c r="S23" s="776">
        <f>F23</f>
        <v>100</v>
      </c>
      <c r="T23" s="775" t="s">
        <v>17</v>
      </c>
      <c r="U23" s="776">
        <f>H23</f>
        <v>100</v>
      </c>
      <c r="V23" s="775" t="s">
        <v>17</v>
      </c>
      <c r="W23" s="776">
        <f>J23</f>
        <v>100</v>
      </c>
      <c r="X23" s="1818"/>
      <c r="Y23" s="3322"/>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322"/>
      <c r="Q24" s="1815">
        <f t="shared" ref="Q24:Q36" si="11">B24</f>
        <v>111</v>
      </c>
      <c r="R24" s="775" t="s">
        <v>17</v>
      </c>
      <c r="S24" s="776">
        <f>F24</f>
        <v>100</v>
      </c>
      <c r="T24" s="775" t="s">
        <v>17</v>
      </c>
      <c r="U24" s="776">
        <f>H24</f>
        <v>100</v>
      </c>
      <c r="V24" s="775" t="s">
        <v>17</v>
      </c>
      <c r="W24" s="776">
        <f>J24</f>
        <v>100</v>
      </c>
      <c r="X24" s="1818"/>
      <c r="Y24" s="3322"/>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322"/>
      <c r="Q25" s="1800">
        <f t="shared" si="11"/>
        <v>111</v>
      </c>
      <c r="R25" s="771" t="s">
        <v>17</v>
      </c>
      <c r="S25" s="772">
        <f>F25</f>
        <v>100</v>
      </c>
      <c r="T25" s="771" t="s">
        <v>17</v>
      </c>
      <c r="U25" s="772">
        <f>H25</f>
        <v>100</v>
      </c>
      <c r="V25" s="771" t="s">
        <v>17</v>
      </c>
      <c r="W25" s="772">
        <f>J25</f>
        <v>100</v>
      </c>
      <c r="X25" s="773"/>
      <c r="Y25" s="3322"/>
      <c r="Z25" s="55">
        <f>Q25</f>
        <v>111</v>
      </c>
      <c r="AA25" s="1816">
        <f>D25/F25</f>
        <v>1</v>
      </c>
      <c r="AB25" s="1816">
        <f>D25/H25</f>
        <v>1</v>
      </c>
      <c r="AC25" s="1816">
        <f>D25/J25</f>
        <v>1</v>
      </c>
    </row>
    <row r="26" spans="1:29" ht="15">
      <c r="A26" s="653" t="s">
        <v>2563</v>
      </c>
      <c r="B26" s="70" t="s">
        <v>2712</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409" t="s">
        <v>2565</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326" t="s">
        <v>2565</v>
      </c>
      <c r="Z26" s="1819" t="str">
        <f t="shared" ref="Z26:Z36" si="15">Q26</f>
        <v>配套类型</v>
      </c>
      <c r="AA26" s="1816">
        <f t="shared" si="3"/>
        <v>1</v>
      </c>
      <c r="AB26" s="1816">
        <f t="shared" si="4"/>
        <v>1</v>
      </c>
      <c r="AC26" s="1816">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326"/>
      <c r="Q27" s="777" t="str">
        <f t="shared" si="11"/>
        <v>项目停车位配比</v>
      </c>
      <c r="R27" s="778" t="s">
        <v>17</v>
      </c>
      <c r="S27" s="779">
        <f t="shared" si="12"/>
        <v>100</v>
      </c>
      <c r="T27" s="778" t="s">
        <v>17</v>
      </c>
      <c r="U27" s="779">
        <f t="shared" si="13"/>
        <v>100</v>
      </c>
      <c r="V27" s="778" t="s">
        <v>17</v>
      </c>
      <c r="W27" s="779">
        <f t="shared" si="14"/>
        <v>100</v>
      </c>
      <c r="X27" s="780"/>
      <c r="Y27" s="3326"/>
      <c r="Z27" s="781" t="str">
        <f t="shared" si="15"/>
        <v>项目停车位配比</v>
      </c>
      <c r="AA27" s="1816">
        <f t="shared" si="3"/>
        <v>1</v>
      </c>
      <c r="AB27" s="1816">
        <f t="shared" si="4"/>
        <v>1</v>
      </c>
      <c r="AC27" s="1816">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326"/>
      <c r="Q28" s="1815" t="str">
        <f t="shared" si="11"/>
        <v>公共部分装修</v>
      </c>
      <c r="R28" s="775" t="s">
        <v>17</v>
      </c>
      <c r="S28" s="776">
        <f t="shared" si="12"/>
        <v>100</v>
      </c>
      <c r="T28" s="775" t="s">
        <v>17</v>
      </c>
      <c r="U28" s="776">
        <f t="shared" si="13"/>
        <v>100</v>
      </c>
      <c r="V28" s="775" t="s">
        <v>17</v>
      </c>
      <c r="W28" s="776">
        <f t="shared" si="14"/>
        <v>100</v>
      </c>
      <c r="X28" s="1818"/>
      <c r="Y28" s="3326"/>
      <c r="Z28" s="1819" t="str">
        <f t="shared" si="15"/>
        <v>公共部分装修</v>
      </c>
      <c r="AA28" s="1816">
        <f t="shared" si="3"/>
        <v>1</v>
      </c>
      <c r="AB28" s="1816">
        <f t="shared" si="4"/>
        <v>1</v>
      </c>
      <c r="AC28" s="1816">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326"/>
      <c r="Q29" s="1815" t="str">
        <f t="shared" si="11"/>
        <v>成新率</v>
      </c>
      <c r="R29" s="775" t="s">
        <v>17</v>
      </c>
      <c r="S29" s="776" t="e">
        <f t="shared" si="12"/>
        <v>#N/A</v>
      </c>
      <c r="T29" s="775" t="s">
        <v>17</v>
      </c>
      <c r="U29" s="776" t="e">
        <f t="shared" si="13"/>
        <v>#N/A</v>
      </c>
      <c r="V29" s="775" t="s">
        <v>17</v>
      </c>
      <c r="W29" s="776" t="e">
        <f t="shared" si="14"/>
        <v>#N/A</v>
      </c>
      <c r="X29" s="1818"/>
      <c r="Y29" s="3326"/>
      <c r="Z29" s="1819" t="str">
        <f t="shared" si="15"/>
        <v>成新率</v>
      </c>
      <c r="AA29" s="1816" t="e">
        <f t="shared" si="3"/>
        <v>#N/A</v>
      </c>
      <c r="AB29" s="1816" t="e">
        <f t="shared" si="4"/>
        <v>#N/A</v>
      </c>
      <c r="AC29" s="1816"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326"/>
      <c r="Q30" s="1815" t="str">
        <f t="shared" si="11"/>
        <v>物业等级</v>
      </c>
      <c r="R30" s="775" t="s">
        <v>17</v>
      </c>
      <c r="S30" s="776">
        <f t="shared" si="12"/>
        <v>100</v>
      </c>
      <c r="T30" s="775" t="s">
        <v>17</v>
      </c>
      <c r="U30" s="776">
        <f t="shared" si="13"/>
        <v>100</v>
      </c>
      <c r="V30" s="775" t="s">
        <v>17</v>
      </c>
      <c r="W30" s="776">
        <f t="shared" si="14"/>
        <v>100</v>
      </c>
      <c r="X30" s="1818"/>
      <c r="Y30" s="3326"/>
      <c r="Z30" s="1819" t="str">
        <f t="shared" si="15"/>
        <v>物业等级</v>
      </c>
      <c r="AA30" s="1816">
        <f t="shared" si="3"/>
        <v>1</v>
      </c>
      <c r="AB30" s="1816">
        <f t="shared" si="4"/>
        <v>1</v>
      </c>
      <c r="AC30" s="1816">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326"/>
      <c r="Q31" s="1800" t="str">
        <f t="shared" si="11"/>
        <v>停车位面积</v>
      </c>
      <c r="R31" s="771" t="s">
        <v>17</v>
      </c>
      <c r="S31" s="772" t="e">
        <f t="shared" si="12"/>
        <v>#N/A</v>
      </c>
      <c r="T31" s="771" t="s">
        <v>17</v>
      </c>
      <c r="U31" s="772" t="e">
        <f t="shared" si="13"/>
        <v>#N/A</v>
      </c>
      <c r="V31" s="771" t="s">
        <v>17</v>
      </c>
      <c r="W31" s="772" t="e">
        <f t="shared" si="14"/>
        <v>#N/A</v>
      </c>
      <c r="X31" s="773"/>
      <c r="Y31" s="3326"/>
      <c r="Z31" s="55" t="str">
        <f t="shared" si="15"/>
        <v>停车位面积</v>
      </c>
      <c r="AA31" s="774" t="e">
        <f t="shared" si="3"/>
        <v>#N/A</v>
      </c>
      <c r="AB31" s="774" t="e">
        <f t="shared" si="4"/>
        <v>#N/A</v>
      </c>
      <c r="AC31" s="774"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326" t="s">
        <v>2565</v>
      </c>
      <c r="Q32" s="1815" t="str">
        <f t="shared" si="11"/>
        <v>车位类型</v>
      </c>
      <c r="R32" s="775" t="s">
        <v>17</v>
      </c>
      <c r="S32" s="776">
        <f t="shared" si="12"/>
        <v>100</v>
      </c>
      <c r="T32" s="775" t="s">
        <v>17</v>
      </c>
      <c r="U32" s="776">
        <f t="shared" si="13"/>
        <v>100</v>
      </c>
      <c r="V32" s="775" t="s">
        <v>17</v>
      </c>
      <c r="W32" s="776">
        <f t="shared" si="14"/>
        <v>100</v>
      </c>
      <c r="X32" s="1818"/>
      <c r="Y32" s="3326" t="s">
        <v>2565</v>
      </c>
      <c r="Z32" s="1819" t="str">
        <f t="shared" si="15"/>
        <v>车位类型</v>
      </c>
      <c r="AA32" s="1816">
        <f t="shared" si="3"/>
        <v>1</v>
      </c>
      <c r="AB32" s="1816">
        <f t="shared" si="4"/>
        <v>1</v>
      </c>
      <c r="AC32" s="1816">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326"/>
      <c r="Q33" s="1815" t="str">
        <f t="shared" si="11"/>
        <v>是否直接入户</v>
      </c>
      <c r="R33" s="775" t="s">
        <v>17</v>
      </c>
      <c r="S33" s="776">
        <f t="shared" si="12"/>
        <v>100</v>
      </c>
      <c r="T33" s="775" t="s">
        <v>17</v>
      </c>
      <c r="U33" s="776">
        <f t="shared" si="13"/>
        <v>100</v>
      </c>
      <c r="V33" s="775" t="s">
        <v>17</v>
      </c>
      <c r="W33" s="776">
        <f t="shared" si="14"/>
        <v>100</v>
      </c>
      <c r="X33" s="1818"/>
      <c r="Y33" s="3326"/>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326"/>
      <c r="Q34" s="1815">
        <f t="shared" si="11"/>
        <v>111</v>
      </c>
      <c r="R34" s="775" t="s">
        <v>17</v>
      </c>
      <c r="S34" s="776">
        <f t="shared" si="12"/>
        <v>100</v>
      </c>
      <c r="T34" s="775" t="s">
        <v>17</v>
      </c>
      <c r="U34" s="776">
        <f t="shared" si="13"/>
        <v>100</v>
      </c>
      <c r="V34" s="775" t="s">
        <v>17</v>
      </c>
      <c r="W34" s="776">
        <f t="shared" si="14"/>
        <v>100</v>
      </c>
      <c r="X34" s="1818"/>
      <c r="Y34" s="3326"/>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326"/>
      <c r="Q35" s="777">
        <f t="shared" si="11"/>
        <v>111</v>
      </c>
      <c r="R35" s="778" t="s">
        <v>17</v>
      </c>
      <c r="S35" s="779">
        <f t="shared" si="12"/>
        <v>100</v>
      </c>
      <c r="T35" s="778" t="s">
        <v>17</v>
      </c>
      <c r="U35" s="779">
        <f t="shared" si="13"/>
        <v>100</v>
      </c>
      <c r="V35" s="778" t="s">
        <v>17</v>
      </c>
      <c r="W35" s="779">
        <f t="shared" si="14"/>
        <v>100</v>
      </c>
      <c r="X35" s="780"/>
      <c r="Y35" s="3326"/>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326"/>
      <c r="Q36" s="1815">
        <f t="shared" si="11"/>
        <v>111</v>
      </c>
      <c r="R36" s="775" t="s">
        <v>17</v>
      </c>
      <c r="S36" s="776">
        <f t="shared" si="12"/>
        <v>100</v>
      </c>
      <c r="T36" s="775" t="s">
        <v>17</v>
      </c>
      <c r="U36" s="776">
        <f t="shared" si="13"/>
        <v>100</v>
      </c>
      <c r="V36" s="775" t="s">
        <v>17</v>
      </c>
      <c r="W36" s="776">
        <f t="shared" si="14"/>
        <v>100</v>
      </c>
      <c r="X36" s="1818"/>
      <c r="Y36" s="3326"/>
      <c r="Z36" s="1819">
        <f t="shared" si="15"/>
        <v>111</v>
      </c>
      <c r="AA36" s="1816">
        <f t="shared" si="3"/>
        <v>1</v>
      </c>
      <c r="AB36" s="1816">
        <f t="shared" si="4"/>
        <v>1</v>
      </c>
      <c r="AC36" s="1816">
        <f t="shared" si="5"/>
        <v>1</v>
      </c>
    </row>
    <row r="37" spans="1:29" ht="15">
      <c r="A37" s="480" t="s">
        <v>2720</v>
      </c>
      <c r="B37" s="2698" t="s">
        <v>2721</v>
      </c>
      <c r="C37" s="1411" t="s">
        <v>1</v>
      </c>
      <c r="D37" s="1412"/>
      <c r="E37" s="1413"/>
      <c r="F37" s="1414"/>
      <c r="G37" s="1415"/>
      <c r="H37" s="1416"/>
      <c r="I37" s="1413"/>
      <c r="J37" s="1416"/>
      <c r="K37" s="620"/>
      <c r="L37" s="1147"/>
      <c r="M37" s="1148"/>
      <c r="N37" s="1135"/>
      <c r="O37" s="1148"/>
      <c r="P37" s="3314" t="str">
        <f>A37</f>
        <v>成交单价</v>
      </c>
      <c r="Q37" s="3314"/>
      <c r="R37" s="3315">
        <f>E37</f>
        <v>0</v>
      </c>
      <c r="S37" s="3315"/>
      <c r="T37" s="3315">
        <f>G37</f>
        <v>0</v>
      </c>
      <c r="U37" s="3315"/>
      <c r="V37" s="3315">
        <f>I37</f>
        <v>0</v>
      </c>
      <c r="W37" s="3315"/>
      <c r="X37" s="760"/>
      <c r="Y37" s="782"/>
      <c r="Z37" s="760"/>
      <c r="AA37" s="760"/>
      <c r="AB37" s="760"/>
      <c r="AC37" s="760"/>
    </row>
    <row r="38" spans="1:29" ht="15.75" thickBot="1">
      <c r="A38" s="487" t="s">
        <v>2722</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314" t="str">
        <f>A38</f>
        <v>比较价值（元/平方米）</v>
      </c>
      <c r="Q38" s="3314"/>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760"/>
      <c r="Y38" s="760"/>
      <c r="Z38" s="760"/>
      <c r="AA38" s="760"/>
      <c r="AB38" s="760"/>
      <c r="AC38" s="760"/>
    </row>
    <row r="39" spans="1:29" ht="15.75" thickBot="1">
      <c r="A39" s="493" t="s">
        <v>2723</v>
      </c>
      <c r="B39" s="494"/>
      <c r="C39" s="1421" t="e">
        <f>R39</f>
        <v>#DIV/0!</v>
      </c>
      <c r="D39" s="1421"/>
      <c r="E39" s="1421"/>
      <c r="F39" s="1421"/>
      <c r="G39" s="1421"/>
      <c r="H39" s="1421"/>
      <c r="I39" s="1421"/>
      <c r="J39" s="1421"/>
      <c r="K39" s="622"/>
      <c r="L39" s="1147"/>
      <c r="M39" s="1148"/>
      <c r="N39" s="1148"/>
      <c r="O39" s="1148"/>
      <c r="P39" s="3377" t="str">
        <f>A39</f>
        <v>估价对象XX用房的比较价值（楼面单价，元/平方米）</v>
      </c>
      <c r="Q39" s="3378"/>
      <c r="R39" s="3379" t="e">
        <f>IF(F1="售价",ROUND(AVERAGE(R38:V38),0),ROUND(AVERAGE(R38:V38),1))</f>
        <v>#DIV/0!</v>
      </c>
      <c r="S39" s="3379"/>
      <c r="T39" s="3379"/>
      <c r="U39" s="3379"/>
      <c r="V39" s="3379"/>
      <c r="W39" s="3379"/>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2727</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2728</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2585</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2550</v>
      </c>
      <c r="B51" s="511"/>
      <c r="C51" s="523" t="s">
        <v>2652</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2588</v>
      </c>
      <c r="B53" s="529" t="s">
        <v>2554</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2603</v>
      </c>
      <c r="C65" s="579" t="s">
        <v>2597</v>
      </c>
      <c r="D65" s="579" t="s">
        <v>2598</v>
      </c>
      <c r="E65" s="579" t="s">
        <v>2599</v>
      </c>
      <c r="F65" s="579" t="s">
        <v>2600</v>
      </c>
      <c r="G65" s="579" t="s">
        <v>2601</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2689</v>
      </c>
      <c r="C67" s="661" t="s">
        <v>2675</v>
      </c>
      <c r="D67" s="661" t="s">
        <v>2676</v>
      </c>
      <c r="E67" s="661" t="s">
        <v>2677</v>
      </c>
      <c r="F67" s="661" t="s">
        <v>2678</v>
      </c>
      <c r="G67" s="661" t="s">
        <v>2679</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2609</v>
      </c>
      <c r="C69" s="579" t="s">
        <v>2597</v>
      </c>
      <c r="D69" s="579" t="s">
        <v>2598</v>
      </c>
      <c r="E69" s="579" t="s">
        <v>2599</v>
      </c>
      <c r="F69" s="579" t="s">
        <v>2600</v>
      </c>
      <c r="G69" s="579" t="s">
        <v>2601</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2729</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2563</v>
      </c>
      <c r="B79" s="529" t="s">
        <v>2730</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2731</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2616</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2733</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2735</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2736</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IF(C2="——",ROUND(C37*D3/10000,0),ROUND(C37*D3/10000,0)-D2)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2644</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29"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355" t="s">
        <v>2549</v>
      </c>
      <c r="Q7" s="3356"/>
      <c r="R7" s="771" t="s">
        <v>17</v>
      </c>
      <c r="S7" s="772">
        <f t="shared" ref="S7:S14" si="0">F7</f>
        <v>0</v>
      </c>
      <c r="T7" s="771" t="s">
        <v>17</v>
      </c>
      <c r="U7" s="772">
        <f t="shared" ref="U7:U14" si="1">H7</f>
        <v>0</v>
      </c>
      <c r="V7" s="771" t="s">
        <v>17</v>
      </c>
      <c r="W7" s="772">
        <f t="shared" ref="W7:W14" si="2">J7</f>
        <v>0</v>
      </c>
      <c r="X7" s="773"/>
      <c r="Y7" s="3355" t="s">
        <v>2549</v>
      </c>
      <c r="Z7" s="3354"/>
      <c r="AA7" s="774" t="e">
        <f>D7/F7</f>
        <v>#DIV/0!</v>
      </c>
      <c r="AB7" s="774" t="e">
        <f>D7/H7</f>
        <v>#DIV/0!</v>
      </c>
      <c r="AC7" s="774"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34" si="3">D8/F8</f>
        <v>#DIV/0!</v>
      </c>
      <c r="AB8" s="774" t="e">
        <f t="shared" ref="AB8:AB34" si="4">D8/H8</f>
        <v>#DIV/0!</v>
      </c>
      <c r="AC8" s="774"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314" t="s">
        <v>2555</v>
      </c>
      <c r="Q9" s="1800" t="str">
        <f t="shared" ref="Q9:Q14" si="6">B9</f>
        <v>用途</v>
      </c>
      <c r="R9" s="771" t="s">
        <v>17</v>
      </c>
      <c r="S9" s="772">
        <f t="shared" si="0"/>
        <v>100</v>
      </c>
      <c r="T9" s="771" t="s">
        <v>17</v>
      </c>
      <c r="U9" s="772">
        <f t="shared" si="1"/>
        <v>100</v>
      </c>
      <c r="V9" s="771" t="s">
        <v>17</v>
      </c>
      <c r="W9" s="772">
        <f t="shared" si="2"/>
        <v>100</v>
      </c>
      <c r="X9" s="773"/>
      <c r="Y9" s="3148" t="s">
        <v>2556</v>
      </c>
      <c r="Z9" s="55" t="str">
        <f t="shared" ref="Z9:Z14" si="7">Q9</f>
        <v>用途</v>
      </c>
      <c r="AA9" s="774">
        <f t="shared" si="3"/>
        <v>1</v>
      </c>
      <c r="AB9" s="774">
        <f t="shared" si="4"/>
        <v>1</v>
      </c>
      <c r="AC9" s="774">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314"/>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314"/>
      <c r="Q11" s="1800">
        <f t="shared" si="6"/>
        <v>111</v>
      </c>
      <c r="R11" s="771" t="s">
        <v>17</v>
      </c>
      <c r="S11" s="772">
        <f t="shared" si="0"/>
        <v>100</v>
      </c>
      <c r="T11" s="771" t="s">
        <v>17</v>
      </c>
      <c r="U11" s="772">
        <f t="shared" si="1"/>
        <v>100</v>
      </c>
      <c r="V11" s="771" t="s">
        <v>17</v>
      </c>
      <c r="W11" s="772">
        <f t="shared" si="2"/>
        <v>100</v>
      </c>
      <c r="X11" s="773"/>
      <c r="Y11" s="3148"/>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314"/>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85.5">
      <c r="A14" s="441" t="s">
        <v>2559</v>
      </c>
      <c r="B14" s="69" t="s">
        <v>2709</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321" t="s">
        <v>2560</v>
      </c>
      <c r="Q14" s="1815" t="str">
        <f t="shared" si="6"/>
        <v>交通便捷度</v>
      </c>
      <c r="R14" s="775" t="s">
        <v>17</v>
      </c>
      <c r="S14" s="776">
        <f t="shared" si="0"/>
        <v>100</v>
      </c>
      <c r="T14" s="775" t="s">
        <v>17</v>
      </c>
      <c r="U14" s="776">
        <f t="shared" si="1"/>
        <v>100</v>
      </c>
      <c r="V14" s="775" t="s">
        <v>17</v>
      </c>
      <c r="W14" s="776">
        <f t="shared" si="2"/>
        <v>100</v>
      </c>
      <c r="X14" s="1818"/>
      <c r="Y14" s="3321" t="s">
        <v>2560</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322"/>
      <c r="Q15" s="1815"/>
      <c r="R15" s="775"/>
      <c r="S15" s="776"/>
      <c r="T15" s="775"/>
      <c r="U15" s="776"/>
      <c r="V15" s="775"/>
      <c r="W15" s="776"/>
      <c r="X15" s="1818"/>
      <c r="Y15" s="3322"/>
      <c r="Z15" s="1819"/>
      <c r="AA15" s="1816">
        <v>1</v>
      </c>
      <c r="AB15" s="1816">
        <v>1</v>
      </c>
      <c r="AC15" s="1816">
        <v>1</v>
      </c>
    </row>
    <row r="16" spans="1:29" ht="42.75">
      <c r="A16" s="429"/>
      <c r="B16" s="452" t="s">
        <v>2688</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322"/>
      <c r="Q16" s="1815" t="str">
        <f>B16</f>
        <v>公共配套设施</v>
      </c>
      <c r="R16" s="775" t="s">
        <v>17</v>
      </c>
      <c r="S16" s="776">
        <f>F16</f>
        <v>100</v>
      </c>
      <c r="T16" s="775" t="s">
        <v>17</v>
      </c>
      <c r="U16" s="776">
        <f>H16</f>
        <v>100</v>
      </c>
      <c r="V16" s="775" t="s">
        <v>17</v>
      </c>
      <c r="W16" s="776">
        <f>J16</f>
        <v>100</v>
      </c>
      <c r="X16" s="1818"/>
      <c r="Y16" s="3322"/>
      <c r="Z16" s="1819" t="str">
        <f>Q16</f>
        <v>公共配套设施</v>
      </c>
      <c r="AA16" s="1816">
        <f t="shared" si="3"/>
        <v>1</v>
      </c>
      <c r="AB16" s="1816">
        <f t="shared" si="4"/>
        <v>1</v>
      </c>
      <c r="AC16" s="1816">
        <f t="shared" si="5"/>
        <v>1</v>
      </c>
    </row>
    <row r="17" spans="1:29" ht="15">
      <c r="A17" s="429"/>
      <c r="B17" s="457"/>
      <c r="C17" s="2611"/>
      <c r="D17" s="449"/>
      <c r="E17" s="448"/>
      <c r="F17" s="450"/>
      <c r="G17" s="448"/>
      <c r="H17" s="449"/>
      <c r="I17" s="448"/>
      <c r="J17" s="449"/>
      <c r="K17" s="616"/>
      <c r="L17" s="1144"/>
      <c r="M17" s="1135"/>
      <c r="N17" s="1135"/>
      <c r="O17" s="1143"/>
      <c r="P17" s="3322"/>
      <c r="Q17" s="1815"/>
      <c r="R17" s="775"/>
      <c r="S17" s="776"/>
      <c r="T17" s="775"/>
      <c r="U17" s="776"/>
      <c r="V17" s="775"/>
      <c r="W17" s="776"/>
      <c r="X17" s="1818"/>
      <c r="Y17" s="3322"/>
      <c r="Z17" s="1819"/>
      <c r="AA17" s="1816">
        <v>1</v>
      </c>
      <c r="AB17" s="1816">
        <v>1</v>
      </c>
      <c r="AC17" s="1816">
        <v>1</v>
      </c>
    </row>
    <row r="18" spans="1:29" ht="28.5">
      <c r="A18" s="429"/>
      <c r="B18" s="1388" t="s">
        <v>2689</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322"/>
      <c r="Q18" s="1815" t="str">
        <f>B18</f>
        <v>基础设施水平</v>
      </c>
      <c r="R18" s="775" t="s">
        <v>17</v>
      </c>
      <c r="S18" s="776">
        <f>F18</f>
        <v>100</v>
      </c>
      <c r="T18" s="775" t="s">
        <v>17</v>
      </c>
      <c r="U18" s="776">
        <f>H18</f>
        <v>100</v>
      </c>
      <c r="V18" s="775" t="s">
        <v>17</v>
      </c>
      <c r="W18" s="776">
        <f>J18</f>
        <v>100</v>
      </c>
      <c r="X18" s="1818"/>
      <c r="Y18" s="3322"/>
      <c r="Z18" s="1819" t="str">
        <f>Q18</f>
        <v>基础设施水平</v>
      </c>
      <c r="AA18" s="1816">
        <f t="shared" ref="AA18" si="8">D18/F18</f>
        <v>1</v>
      </c>
      <c r="AB18" s="1816">
        <f t="shared" ref="AB18" si="9">D18/H18</f>
        <v>1</v>
      </c>
      <c r="AC18" s="1816">
        <f t="shared" ref="AC18" si="10">D18/J18</f>
        <v>1</v>
      </c>
    </row>
    <row r="19" spans="1:29" ht="15">
      <c r="A19" s="429"/>
      <c r="B19" s="1388"/>
      <c r="C19" s="2611"/>
      <c r="D19" s="451"/>
      <c r="E19" s="2611"/>
      <c r="F19" s="454"/>
      <c r="G19" s="2611"/>
      <c r="H19" s="449"/>
      <c r="I19" s="448"/>
      <c r="J19" s="449"/>
      <c r="K19" s="1387"/>
      <c r="L19" s="1144"/>
      <c r="M19" s="1135"/>
      <c r="N19" s="1135"/>
      <c r="O19" s="1143"/>
      <c r="P19" s="3322"/>
      <c r="Q19" s="1815"/>
      <c r="R19" s="775"/>
      <c r="S19" s="776"/>
      <c r="T19" s="775"/>
      <c r="U19" s="776"/>
      <c r="V19" s="775"/>
      <c r="W19" s="776"/>
      <c r="X19" s="1818"/>
      <c r="Y19" s="3322"/>
      <c r="Z19" s="1819"/>
      <c r="AA19" s="1816">
        <v>1</v>
      </c>
      <c r="AB19" s="1816">
        <v>1</v>
      </c>
      <c r="AC19" s="1816">
        <v>1</v>
      </c>
    </row>
    <row r="20" spans="1:29" ht="57">
      <c r="A20" s="429"/>
      <c r="B20" s="452" t="s">
        <v>2710</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322"/>
      <c r="Q20" s="1815" t="str">
        <f>B20</f>
        <v>自然及人文环境</v>
      </c>
      <c r="R20" s="775" t="s">
        <v>17</v>
      </c>
      <c r="S20" s="776">
        <f>F20</f>
        <v>100</v>
      </c>
      <c r="T20" s="775" t="s">
        <v>17</v>
      </c>
      <c r="U20" s="776">
        <f>H20</f>
        <v>100</v>
      </c>
      <c r="V20" s="775" t="s">
        <v>17</v>
      </c>
      <c r="W20" s="776">
        <f>J20</f>
        <v>100</v>
      </c>
      <c r="X20" s="1818"/>
      <c r="Y20" s="3322"/>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322"/>
      <c r="Q21" s="1815"/>
      <c r="R21" s="775"/>
      <c r="S21" s="776"/>
      <c r="T21" s="775"/>
      <c r="U21" s="776"/>
      <c r="V21" s="775"/>
      <c r="W21" s="776"/>
      <c r="X21" s="1818"/>
      <c r="Y21" s="3322"/>
      <c r="Z21" s="1819"/>
      <c r="AA21" s="1816">
        <v>1</v>
      </c>
      <c r="AB21" s="1816">
        <v>1</v>
      </c>
      <c r="AC21" s="1816">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322"/>
      <c r="Q22" s="1815" t="str">
        <f>B22</f>
        <v>楼层</v>
      </c>
      <c r="R22" s="775" t="s">
        <v>17</v>
      </c>
      <c r="S22" s="776">
        <f>F22</f>
        <v>100</v>
      </c>
      <c r="T22" s="775" t="s">
        <v>17</v>
      </c>
      <c r="U22" s="776">
        <f>H22</f>
        <v>100</v>
      </c>
      <c r="V22" s="775" t="s">
        <v>17</v>
      </c>
      <c r="W22" s="776">
        <f>J22</f>
        <v>100</v>
      </c>
      <c r="X22" s="1818"/>
      <c r="Y22" s="3322"/>
      <c r="Z22" s="1819" t="str">
        <f>Q22</f>
        <v>楼层</v>
      </c>
      <c r="AA22" s="1816">
        <f t="shared" si="3"/>
        <v>1</v>
      </c>
      <c r="AB22" s="1816">
        <f t="shared" si="4"/>
        <v>1</v>
      </c>
      <c r="AC22" s="1816">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322"/>
      <c r="Q23" s="1815">
        <f>B23</f>
        <v>111</v>
      </c>
      <c r="R23" s="775" t="s">
        <v>17</v>
      </c>
      <c r="S23" s="776">
        <f>F23</f>
        <v>100</v>
      </c>
      <c r="T23" s="775" t="s">
        <v>17</v>
      </c>
      <c r="U23" s="776">
        <f>H23</f>
        <v>100</v>
      </c>
      <c r="V23" s="775" t="s">
        <v>17</v>
      </c>
      <c r="W23" s="776">
        <f>J23</f>
        <v>100</v>
      </c>
      <c r="X23" s="1818"/>
      <c r="Y23" s="3322"/>
      <c r="Z23" s="1819">
        <f>Q23</f>
        <v>111</v>
      </c>
      <c r="AA23" s="1816">
        <f t="shared" si="3"/>
        <v>1</v>
      </c>
      <c r="AB23" s="1816">
        <f t="shared" si="4"/>
        <v>1</v>
      </c>
      <c r="AC23" s="1816">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322"/>
      <c r="Q24" s="1815">
        <f t="shared" ref="Q24:Q34" si="11">B24</f>
        <v>111</v>
      </c>
      <c r="R24" s="775" t="s">
        <v>17</v>
      </c>
      <c r="S24" s="776">
        <f>F24</f>
        <v>100</v>
      </c>
      <c r="T24" s="775" t="s">
        <v>17</v>
      </c>
      <c r="U24" s="776">
        <f>H24</f>
        <v>100</v>
      </c>
      <c r="V24" s="775" t="s">
        <v>17</v>
      </c>
      <c r="W24" s="776">
        <f>J24</f>
        <v>100</v>
      </c>
      <c r="X24" s="1818"/>
      <c r="Y24" s="3322"/>
      <c r="Z24" s="1819">
        <f>Q24</f>
        <v>111</v>
      </c>
      <c r="AA24" s="1816">
        <f t="shared" si="3"/>
        <v>1</v>
      </c>
      <c r="AB24" s="1816">
        <f t="shared" si="4"/>
        <v>1</v>
      </c>
      <c r="AC24" s="1816">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322"/>
      <c r="Q25" s="1800">
        <f t="shared" si="11"/>
        <v>111</v>
      </c>
      <c r="R25" s="771" t="s">
        <v>17</v>
      </c>
      <c r="S25" s="772">
        <f>F25</f>
        <v>100</v>
      </c>
      <c r="T25" s="771" t="s">
        <v>17</v>
      </c>
      <c r="U25" s="772">
        <f>H25</f>
        <v>100</v>
      </c>
      <c r="V25" s="771" t="s">
        <v>17</v>
      </c>
      <c r="W25" s="772">
        <f>J25</f>
        <v>100</v>
      </c>
      <c r="X25" s="773"/>
      <c r="Y25" s="3322"/>
      <c r="Z25" s="55">
        <f>Q25</f>
        <v>111</v>
      </c>
      <c r="AA25" s="1816">
        <f>D25/F25</f>
        <v>1</v>
      </c>
      <c r="AB25" s="1816">
        <f>D25/H25</f>
        <v>1</v>
      </c>
      <c r="AC25" s="1816">
        <f>D25/J25</f>
        <v>1</v>
      </c>
    </row>
    <row r="26" spans="1:29" ht="15">
      <c r="A26" s="467" t="s">
        <v>2563</v>
      </c>
      <c r="B26" s="71" t="s">
        <v>2714</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409" t="s">
        <v>2565</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326" t="s">
        <v>2565</v>
      </c>
      <c r="Z26" s="1819" t="str">
        <f t="shared" ref="Z26:Z34" si="15">Q26</f>
        <v>公共部分装修</v>
      </c>
      <c r="AA26" s="1816">
        <f t="shared" si="3"/>
        <v>1</v>
      </c>
      <c r="AB26" s="1816">
        <f t="shared" si="4"/>
        <v>1</v>
      </c>
      <c r="AC26" s="1816">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326"/>
      <c r="Q27" s="777" t="str">
        <f t="shared" si="11"/>
        <v>成新率</v>
      </c>
      <c r="R27" s="778" t="s">
        <v>17</v>
      </c>
      <c r="S27" s="779" t="e">
        <f t="shared" si="12"/>
        <v>#N/A</v>
      </c>
      <c r="T27" s="778" t="s">
        <v>17</v>
      </c>
      <c r="U27" s="779" t="e">
        <f t="shared" si="13"/>
        <v>#N/A</v>
      </c>
      <c r="V27" s="778" t="s">
        <v>17</v>
      </c>
      <c r="W27" s="779" t="e">
        <f t="shared" si="14"/>
        <v>#N/A</v>
      </c>
      <c r="X27" s="780"/>
      <c r="Y27" s="3326"/>
      <c r="Z27" s="781" t="str">
        <f t="shared" si="15"/>
        <v>成新率</v>
      </c>
      <c r="AA27" s="1816" t="e">
        <f t="shared" si="3"/>
        <v>#N/A</v>
      </c>
      <c r="AB27" s="1816" t="e">
        <f t="shared" si="4"/>
        <v>#N/A</v>
      </c>
      <c r="AC27" s="1816"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326"/>
      <c r="Q28" s="1815" t="str">
        <f t="shared" si="11"/>
        <v>物业等级</v>
      </c>
      <c r="R28" s="775" t="s">
        <v>17</v>
      </c>
      <c r="S28" s="776">
        <f t="shared" si="12"/>
        <v>100</v>
      </c>
      <c r="T28" s="775" t="s">
        <v>17</v>
      </c>
      <c r="U28" s="776">
        <f t="shared" si="13"/>
        <v>100</v>
      </c>
      <c r="V28" s="775" t="s">
        <v>17</v>
      </c>
      <c r="W28" s="776">
        <f t="shared" si="14"/>
        <v>100</v>
      </c>
      <c r="X28" s="1818"/>
      <c r="Y28" s="3326"/>
      <c r="Z28" s="1819" t="str">
        <f t="shared" si="15"/>
        <v>物业等级</v>
      </c>
      <c r="AA28" s="1816">
        <f t="shared" si="3"/>
        <v>1</v>
      </c>
      <c r="AB28" s="1816">
        <f t="shared" si="4"/>
        <v>1</v>
      </c>
      <c r="AC28" s="1816">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326"/>
      <c r="Q29" s="1815" t="str">
        <f t="shared" si="11"/>
        <v>有无电梯</v>
      </c>
      <c r="R29" s="775" t="s">
        <v>17</v>
      </c>
      <c r="S29" s="776">
        <f t="shared" si="12"/>
        <v>100</v>
      </c>
      <c r="T29" s="775" t="s">
        <v>17</v>
      </c>
      <c r="U29" s="776">
        <f t="shared" si="13"/>
        <v>100</v>
      </c>
      <c r="V29" s="775" t="s">
        <v>17</v>
      </c>
      <c r="W29" s="776">
        <f t="shared" si="14"/>
        <v>100</v>
      </c>
      <c r="X29" s="1818"/>
      <c r="Y29" s="3326"/>
      <c r="Z29" s="1819" t="str">
        <f t="shared" si="15"/>
        <v>有无电梯</v>
      </c>
      <c r="AA29" s="1816">
        <f t="shared" si="3"/>
        <v>1</v>
      </c>
      <c r="AB29" s="1816">
        <f t="shared" si="4"/>
        <v>1</v>
      </c>
      <c r="AC29" s="1816">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326"/>
      <c r="Q30" s="1815" t="str">
        <f t="shared" si="11"/>
        <v>建筑面积</v>
      </c>
      <c r="R30" s="775" t="s">
        <v>17</v>
      </c>
      <c r="S30" s="776" t="e">
        <f t="shared" si="12"/>
        <v>#N/A</v>
      </c>
      <c r="T30" s="775" t="s">
        <v>17</v>
      </c>
      <c r="U30" s="776" t="e">
        <f t="shared" si="13"/>
        <v>#N/A</v>
      </c>
      <c r="V30" s="775" t="s">
        <v>17</v>
      </c>
      <c r="W30" s="776" t="e">
        <f t="shared" si="14"/>
        <v>#N/A</v>
      </c>
      <c r="X30" s="1818"/>
      <c r="Y30" s="3326"/>
      <c r="Z30" s="1819" t="str">
        <f t="shared" si="15"/>
        <v>建筑面积</v>
      </c>
      <c r="AA30" s="1816" t="e">
        <f t="shared" si="3"/>
        <v>#N/A</v>
      </c>
      <c r="AB30" s="1816" t="e">
        <f t="shared" si="4"/>
        <v>#N/A</v>
      </c>
      <c r="AC30" s="1816"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326"/>
      <c r="Q31" s="1800" t="str">
        <f t="shared" si="11"/>
        <v>是否封闭</v>
      </c>
      <c r="R31" s="771" t="s">
        <v>17</v>
      </c>
      <c r="S31" s="772">
        <f t="shared" si="12"/>
        <v>100</v>
      </c>
      <c r="T31" s="771" t="s">
        <v>17</v>
      </c>
      <c r="U31" s="772">
        <f t="shared" si="13"/>
        <v>100</v>
      </c>
      <c r="V31" s="771" t="s">
        <v>17</v>
      </c>
      <c r="W31" s="772">
        <f t="shared" si="14"/>
        <v>100</v>
      </c>
      <c r="X31" s="773"/>
      <c r="Y31" s="3326"/>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326" t="s">
        <v>2565</v>
      </c>
      <c r="Q32" s="1815">
        <f t="shared" si="11"/>
        <v>111</v>
      </c>
      <c r="R32" s="775" t="s">
        <v>17</v>
      </c>
      <c r="S32" s="776">
        <f t="shared" si="12"/>
        <v>100</v>
      </c>
      <c r="T32" s="775" t="s">
        <v>17</v>
      </c>
      <c r="U32" s="776">
        <f t="shared" si="13"/>
        <v>100</v>
      </c>
      <c r="V32" s="775" t="s">
        <v>17</v>
      </c>
      <c r="W32" s="776">
        <f t="shared" si="14"/>
        <v>100</v>
      </c>
      <c r="X32" s="1818"/>
      <c r="Y32" s="3326" t="s">
        <v>2565</v>
      </c>
      <c r="Z32" s="1819">
        <f t="shared" si="15"/>
        <v>111</v>
      </c>
      <c r="AA32" s="1816">
        <f t="shared" si="3"/>
        <v>1</v>
      </c>
      <c r="AB32" s="1816">
        <f t="shared" si="4"/>
        <v>1</v>
      </c>
      <c r="AC32" s="1816">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326"/>
      <c r="Q33" s="1815">
        <f t="shared" si="11"/>
        <v>111</v>
      </c>
      <c r="R33" s="775" t="s">
        <v>17</v>
      </c>
      <c r="S33" s="776">
        <f t="shared" si="12"/>
        <v>100</v>
      </c>
      <c r="T33" s="775" t="s">
        <v>17</v>
      </c>
      <c r="U33" s="776">
        <f t="shared" si="13"/>
        <v>100</v>
      </c>
      <c r="V33" s="775" t="s">
        <v>17</v>
      </c>
      <c r="W33" s="776">
        <f t="shared" si="14"/>
        <v>100</v>
      </c>
      <c r="X33" s="1818"/>
      <c r="Y33" s="3326"/>
      <c r="Z33" s="1819">
        <f t="shared" si="15"/>
        <v>111</v>
      </c>
      <c r="AA33" s="1816">
        <f t="shared" si="3"/>
        <v>1</v>
      </c>
      <c r="AB33" s="1816">
        <f t="shared" si="4"/>
        <v>1</v>
      </c>
      <c r="AC33" s="1816">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326"/>
      <c r="Q34" s="1815">
        <f t="shared" si="11"/>
        <v>111</v>
      </c>
      <c r="R34" s="775" t="s">
        <v>17</v>
      </c>
      <c r="S34" s="776">
        <f t="shared" si="12"/>
        <v>100</v>
      </c>
      <c r="T34" s="775" t="s">
        <v>17</v>
      </c>
      <c r="U34" s="776">
        <f t="shared" si="13"/>
        <v>100</v>
      </c>
      <c r="V34" s="775" t="s">
        <v>17</v>
      </c>
      <c r="W34" s="776">
        <f t="shared" si="14"/>
        <v>100</v>
      </c>
      <c r="X34" s="1818"/>
      <c r="Y34" s="3326"/>
      <c r="Z34" s="1819">
        <f t="shared" si="15"/>
        <v>111</v>
      </c>
      <c r="AA34" s="1816">
        <f t="shared" si="3"/>
        <v>1</v>
      </c>
      <c r="AB34" s="1816">
        <f t="shared" si="4"/>
        <v>1</v>
      </c>
      <c r="AC34" s="1816">
        <f t="shared" si="5"/>
        <v>1</v>
      </c>
    </row>
    <row r="35" spans="1:29" ht="15">
      <c r="A35" s="480" t="s">
        <v>2577</v>
      </c>
      <c r="B35" s="481"/>
      <c r="C35" s="1411" t="s">
        <v>1</v>
      </c>
      <c r="D35" s="1412"/>
      <c r="E35" s="1413"/>
      <c r="F35" s="1414"/>
      <c r="G35" s="1415"/>
      <c r="H35" s="1416"/>
      <c r="I35" s="1413"/>
      <c r="J35" s="1416"/>
      <c r="K35" s="784"/>
      <c r="L35" s="1147"/>
      <c r="M35" s="1148"/>
      <c r="N35" s="1135"/>
      <c r="O35" s="1148"/>
      <c r="P35" s="3314" t="str">
        <f>A35</f>
        <v>成交单价（元/平方米）</v>
      </c>
      <c r="Q35" s="3314"/>
      <c r="R35" s="3315">
        <f>E35</f>
        <v>0</v>
      </c>
      <c r="S35" s="3315"/>
      <c r="T35" s="3315">
        <f>G35</f>
        <v>0</v>
      </c>
      <c r="U35" s="3315"/>
      <c r="V35" s="3315">
        <f>I35</f>
        <v>0</v>
      </c>
      <c r="W35" s="3315"/>
      <c r="X35" s="760"/>
      <c r="Y35" s="782"/>
      <c r="Z35" s="760"/>
      <c r="AA35" s="760"/>
      <c r="AB35" s="760"/>
      <c r="AC35" s="760"/>
    </row>
    <row r="36" spans="1:29" ht="15.75" thickBot="1">
      <c r="A36" s="487" t="s">
        <v>2669</v>
      </c>
      <c r="B36" s="488"/>
      <c r="C36" s="1417" t="e">
        <f>R37</f>
        <v>#DIV/0!</v>
      </c>
      <c r="D36" s="1418"/>
      <c r="E36" s="1419" t="e">
        <f>R36</f>
        <v>#DIV/0!</v>
      </c>
      <c r="F36" s="1419"/>
      <c r="G36" s="1417" t="e">
        <f>T36</f>
        <v>#DIV/0!</v>
      </c>
      <c r="H36" s="1418"/>
      <c r="I36" s="1419" t="e">
        <f>V36</f>
        <v>#DIV/0!</v>
      </c>
      <c r="J36" s="1418"/>
      <c r="K36" s="785"/>
      <c r="L36" s="1147"/>
      <c r="M36" s="1148"/>
      <c r="N36" s="1135"/>
      <c r="O36" s="1148"/>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760"/>
      <c r="Y36" s="760"/>
      <c r="Z36" s="760"/>
      <c r="AA36" s="760"/>
      <c r="AB36" s="760"/>
      <c r="AC36" s="760"/>
    </row>
    <row r="37" spans="1:29" ht="15.75" thickBot="1">
      <c r="A37" s="493" t="s">
        <v>2670</v>
      </c>
      <c r="B37" s="494"/>
      <c r="C37" s="1421" t="e">
        <f>R37</f>
        <v>#DIV/0!</v>
      </c>
      <c r="D37" s="1421"/>
      <c r="E37" s="1421"/>
      <c r="F37" s="1421"/>
      <c r="G37" s="1421"/>
      <c r="H37" s="1421"/>
      <c r="I37" s="1421"/>
      <c r="J37" s="1421"/>
      <c r="K37" s="786"/>
      <c r="L37" s="1147"/>
      <c r="M37" s="1148"/>
      <c r="N37" s="1148"/>
      <c r="O37" s="1148"/>
      <c r="P37" s="3377" t="str">
        <f>A37</f>
        <v>估价对象XX用房的比较价值（楼面单价，元/平方米）</v>
      </c>
      <c r="Q37" s="3378"/>
      <c r="R37" s="3379" t="e">
        <f>IF(F1="售价",ROUND(AVERAGE(R36:V36),0),ROUND(AVERAGE(R36:V36),1))</f>
        <v>#DIV/0!</v>
      </c>
      <c r="S37" s="3379"/>
      <c r="T37" s="3379"/>
      <c r="U37" s="3379"/>
      <c r="V37" s="3379"/>
      <c r="W37" s="3379"/>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2674</v>
      </c>
      <c r="B45" s="760"/>
      <c r="C45" s="765"/>
      <c r="D45" s="765"/>
      <c r="E45" s="765"/>
      <c r="F45" s="766"/>
      <c r="G45" s="766"/>
      <c r="H45" s="765"/>
      <c r="I45" s="765"/>
      <c r="J45" s="765"/>
      <c r="K45" s="767"/>
      <c r="L45" s="768"/>
      <c r="M45" s="765"/>
      <c r="N45" s="765"/>
      <c r="O45" s="765"/>
      <c r="P45" s="504"/>
      <c r="Q45" s="505"/>
    </row>
    <row r="46" spans="1:29" s="509" customFormat="1" ht="15">
      <c r="A46" s="506" t="s">
        <v>2548</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2588</v>
      </c>
      <c r="B51" s="529" t="s">
        <v>2554</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2729</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2563</v>
      </c>
      <c r="B77" s="529" t="s">
        <v>2616</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2733</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2741</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2743</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30"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30"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61"/>
      <c r="AC6" s="3361"/>
    </row>
    <row r="7" spans="1:30" s="117" customFormat="1" ht="15.75" thickBot="1">
      <c r="A7" s="409" t="s">
        <v>2548</v>
      </c>
      <c r="B7" s="410"/>
      <c r="C7" s="411">
        <f>'数据-取费表'!B2</f>
        <v>43104</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6"/>
      <c r="M7" s="1137"/>
      <c r="N7" s="1137"/>
      <c r="O7" s="1137"/>
      <c r="P7" s="3355" t="s">
        <v>2549</v>
      </c>
      <c r="Q7" s="3356"/>
      <c r="R7" s="771" t="s">
        <v>17</v>
      </c>
      <c r="S7" s="772">
        <f t="shared" ref="S7:S15" si="0">F7</f>
        <v>0</v>
      </c>
      <c r="T7" s="771" t="s">
        <v>17</v>
      </c>
      <c r="U7" s="772">
        <f t="shared" ref="U7:U15" si="1">H7</f>
        <v>0</v>
      </c>
      <c r="V7" s="771" t="s">
        <v>17</v>
      </c>
      <c r="W7" s="772">
        <f t="shared" ref="W7:W15" si="2">J7</f>
        <v>0</v>
      </c>
      <c r="X7" s="773"/>
      <c r="Y7" s="3355" t="s">
        <v>2549</v>
      </c>
      <c r="Z7" s="3354"/>
      <c r="AA7" s="774" t="e">
        <f>D7/F7</f>
        <v>#DIV/0!</v>
      </c>
      <c r="AB7" s="774" t="e">
        <f>D7/H7</f>
        <v>#DIV/0!</v>
      </c>
      <c r="AC7" s="774"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45" si="3">D8/F8</f>
        <v>#DIV/0!</v>
      </c>
      <c r="AB8" s="774" t="e">
        <f t="shared" ref="AB8:AB45" si="4">D8/H8</f>
        <v>#DIV/0!</v>
      </c>
      <c r="AC8" s="774" t="e">
        <f t="shared" ref="AC8:AC45" si="5">D8/J8</f>
        <v>#DIV/0!</v>
      </c>
    </row>
    <row r="9" spans="1:30" s="117" customFormat="1">
      <c r="A9" s="416" t="s">
        <v>2553</v>
      </c>
      <c r="B9" s="71" t="s">
        <v>2554</v>
      </c>
      <c r="C9" s="2702"/>
      <c r="D9" s="135">
        <v>100</v>
      </c>
      <c r="E9" s="2702"/>
      <c r="F9" s="135">
        <f>SUMIF(75:75,E9,76:76)-SUMIF(75:75,C9,76:76)+100</f>
        <v>100</v>
      </c>
      <c r="G9" s="2702"/>
      <c r="H9" s="135">
        <f>SUMIF(75:75,G9,76:76)-SUMIF(75:75,C9,76:76)+100</f>
        <v>100</v>
      </c>
      <c r="I9" s="2702"/>
      <c r="J9" s="135">
        <f>SUMIF(75:75,I9,76:76)-SUMIF(75:75,C9,76:76)+100</f>
        <v>100</v>
      </c>
      <c r="K9" s="612"/>
      <c r="L9" s="1136"/>
      <c r="M9" s="1137"/>
      <c r="N9" s="1137"/>
      <c r="O9" s="1138"/>
      <c r="P9" s="3314"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30" s="428" customFormat="1" ht="27">
      <c r="A10" s="422"/>
      <c r="B10" s="423" t="s">
        <v>2557</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314"/>
      <c r="Q10" s="1800" t="str">
        <f t="shared" si="6"/>
        <v>土地使用年限（年）</v>
      </c>
      <c r="R10" s="771" t="s">
        <v>17</v>
      </c>
      <c r="S10" s="772">
        <f t="shared" si="0"/>
        <v>111</v>
      </c>
      <c r="T10" s="771" t="s">
        <v>17</v>
      </c>
      <c r="U10" s="772">
        <f t="shared" si="1"/>
        <v>111</v>
      </c>
      <c r="V10" s="771" t="s">
        <v>17</v>
      </c>
      <c r="W10" s="772">
        <f t="shared" si="2"/>
        <v>111</v>
      </c>
      <c r="X10" s="773"/>
      <c r="Y10" s="3148"/>
      <c r="Z10" s="55" t="str">
        <f t="shared" si="7"/>
        <v>土地使用年限（年）</v>
      </c>
      <c r="AA10" s="774">
        <f t="shared" si="3"/>
        <v>0.90090090090090091</v>
      </c>
      <c r="AB10" s="774">
        <f t="shared" si="4"/>
        <v>0.90090090090090091</v>
      </c>
      <c r="AC10" s="774">
        <f t="shared" si="5"/>
        <v>0.90090090090090091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314"/>
      <c r="Q11" s="1800" t="str">
        <f t="shared" si="6"/>
        <v>容积率</v>
      </c>
      <c r="R11" s="771" t="s">
        <v>17</v>
      </c>
      <c r="S11" s="772" t="e">
        <f t="shared" si="0"/>
        <v>#N/A</v>
      </c>
      <c r="T11" s="771" t="s">
        <v>17</v>
      </c>
      <c r="U11" s="772" t="e">
        <f t="shared" si="1"/>
        <v>#N/A</v>
      </c>
      <c r="V11" s="771" t="s">
        <v>17</v>
      </c>
      <c r="W11" s="772" t="e">
        <f t="shared" si="2"/>
        <v>#N/A</v>
      </c>
      <c r="X11" s="773"/>
      <c r="Y11" s="3148"/>
      <c r="Z11" s="55" t="str">
        <f t="shared" si="7"/>
        <v>容积率</v>
      </c>
      <c r="AA11" s="774" t="e">
        <f t="shared" si="3"/>
        <v>#N/A</v>
      </c>
      <c r="AB11" s="774" t="e">
        <f t="shared" si="4"/>
        <v>#N/A</v>
      </c>
      <c r="AC11" s="774" t="e">
        <f t="shared" si="5"/>
        <v>#N/A</v>
      </c>
    </row>
    <row r="12" spans="1:30" s="117" customFormat="1" ht="15">
      <c r="A12" s="432"/>
      <c r="B12" s="2603" t="s">
        <v>2747</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314"/>
      <c r="Q12" s="1800" t="str">
        <f t="shared" si="6"/>
        <v>配建</v>
      </c>
      <c r="R12" s="771" t="s">
        <v>17</v>
      </c>
      <c r="S12" s="772">
        <f t="shared" si="0"/>
        <v>100</v>
      </c>
      <c r="T12" s="771" t="s">
        <v>17</v>
      </c>
      <c r="U12" s="772">
        <f t="shared" si="1"/>
        <v>100</v>
      </c>
      <c r="V12" s="771" t="s">
        <v>17</v>
      </c>
      <c r="W12" s="772">
        <f t="shared" si="2"/>
        <v>100</v>
      </c>
      <c r="X12" s="773"/>
      <c r="Y12" s="3148"/>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314"/>
      <c r="Q14" s="1800">
        <f t="shared" si="6"/>
        <v>111</v>
      </c>
      <c r="R14" s="771" t="s">
        <v>17</v>
      </c>
      <c r="S14" s="772">
        <f t="shared" si="0"/>
        <v>100</v>
      </c>
      <c r="T14" s="771" t="s">
        <v>17</v>
      </c>
      <c r="U14" s="772">
        <f t="shared" si="1"/>
        <v>100</v>
      </c>
      <c r="V14" s="771" t="s">
        <v>17</v>
      </c>
      <c r="W14" s="772">
        <f t="shared" si="2"/>
        <v>100</v>
      </c>
      <c r="X14" s="773"/>
      <c r="Y14" s="3148"/>
      <c r="Z14" s="55">
        <f t="shared" si="7"/>
        <v>111</v>
      </c>
      <c r="AA14" s="774">
        <f>D14/F14</f>
        <v>1</v>
      </c>
      <c r="AB14" s="774">
        <f>D14/H14</f>
        <v>1</v>
      </c>
      <c r="AC14" s="774">
        <f>D14/J14</f>
        <v>1</v>
      </c>
    </row>
    <row r="15" spans="1:30" ht="99.75">
      <c r="A15" s="441" t="s">
        <v>2559</v>
      </c>
      <c r="B15" s="69" t="s">
        <v>2086</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321" t="s">
        <v>2560</v>
      </c>
      <c r="Q15" s="1815" t="str">
        <f t="shared" si="6"/>
        <v>居住社区成熟度</v>
      </c>
      <c r="R15" s="775" t="s">
        <v>17</v>
      </c>
      <c r="S15" s="776">
        <f t="shared" si="0"/>
        <v>100</v>
      </c>
      <c r="T15" s="775" t="s">
        <v>17</v>
      </c>
      <c r="U15" s="776">
        <f t="shared" si="1"/>
        <v>100</v>
      </c>
      <c r="V15" s="775" t="s">
        <v>17</v>
      </c>
      <c r="W15" s="776">
        <f t="shared" si="2"/>
        <v>100</v>
      </c>
      <c r="X15" s="1818"/>
      <c r="Y15" s="3321" t="s">
        <v>2560</v>
      </c>
      <c r="Z15" s="1819" t="str">
        <f t="shared" si="7"/>
        <v>居住社区成熟度</v>
      </c>
      <c r="AA15" s="1816">
        <f t="shared" si="3"/>
        <v>1</v>
      </c>
      <c r="AB15" s="1816">
        <f t="shared" si="4"/>
        <v>1</v>
      </c>
      <c r="AC15" s="1816">
        <f t="shared" si="5"/>
        <v>1</v>
      </c>
    </row>
    <row r="16" spans="1:30" ht="15">
      <c r="A16" s="429"/>
      <c r="B16" s="447"/>
      <c r="C16" s="448"/>
      <c r="D16" s="449"/>
      <c r="E16" s="2608"/>
      <c r="F16" s="449"/>
      <c r="G16" s="2608"/>
      <c r="H16" s="451"/>
      <c r="I16" s="2607"/>
      <c r="J16" s="449"/>
      <c r="K16" s="673"/>
      <c r="L16" s="1144"/>
      <c r="M16" s="1135"/>
      <c r="N16" s="1135"/>
      <c r="O16" s="1143"/>
      <c r="P16" s="3322"/>
      <c r="Q16" s="1815"/>
      <c r="R16" s="775"/>
      <c r="S16" s="776"/>
      <c r="T16" s="775"/>
      <c r="U16" s="776"/>
      <c r="V16" s="775"/>
      <c r="W16" s="776"/>
      <c r="X16" s="1818"/>
      <c r="Y16" s="3322"/>
      <c r="Z16" s="1819"/>
      <c r="AA16" s="1816">
        <v>1</v>
      </c>
      <c r="AB16" s="1816">
        <v>1</v>
      </c>
      <c r="AC16" s="1816">
        <v>1</v>
      </c>
    </row>
    <row r="17" spans="1:29" ht="71.25">
      <c r="A17" s="429"/>
      <c r="B17" s="452" t="s">
        <v>2653</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322"/>
      <c r="Q17" s="1815" t="str">
        <f>B17</f>
        <v>商业繁华度</v>
      </c>
      <c r="R17" s="775" t="s">
        <v>17</v>
      </c>
      <c r="S17" s="776">
        <f>F17</f>
        <v>100</v>
      </c>
      <c r="T17" s="775" t="s">
        <v>17</v>
      </c>
      <c r="U17" s="776">
        <f>H17</f>
        <v>100</v>
      </c>
      <c r="V17" s="775" t="s">
        <v>17</v>
      </c>
      <c r="W17" s="776">
        <f>J17</f>
        <v>100</v>
      </c>
      <c r="X17" s="1818"/>
      <c r="Y17" s="3322"/>
      <c r="Z17" s="1819" t="str">
        <f>Q17</f>
        <v>商业繁华度</v>
      </c>
      <c r="AA17" s="1816">
        <f t="shared" si="3"/>
        <v>1</v>
      </c>
      <c r="AB17" s="1816">
        <f t="shared" si="4"/>
        <v>1</v>
      </c>
      <c r="AC17" s="1816">
        <f t="shared" si="5"/>
        <v>1</v>
      </c>
    </row>
    <row r="18" spans="1:29" ht="15">
      <c r="A18" s="429"/>
      <c r="B18" s="457"/>
      <c r="C18" s="2611"/>
      <c r="D18" s="451"/>
      <c r="E18" s="2613"/>
      <c r="F18" s="451"/>
      <c r="G18" s="2613"/>
      <c r="H18" s="449"/>
      <c r="I18" s="2612"/>
      <c r="J18" s="449"/>
      <c r="K18" s="673"/>
      <c r="L18" s="1144"/>
      <c r="M18" s="1135"/>
      <c r="N18" s="1135"/>
      <c r="O18" s="1143"/>
      <c r="P18" s="3322"/>
      <c r="Q18" s="1815"/>
      <c r="R18" s="775"/>
      <c r="S18" s="776"/>
      <c r="T18" s="775"/>
      <c r="U18" s="776"/>
      <c r="V18" s="775"/>
      <c r="W18" s="776"/>
      <c r="X18" s="1818"/>
      <c r="Y18" s="3322"/>
      <c r="Z18" s="1819"/>
      <c r="AA18" s="1816">
        <v>1</v>
      </c>
      <c r="AB18" s="1816">
        <v>1</v>
      </c>
      <c r="AC18" s="1816">
        <v>1</v>
      </c>
    </row>
    <row r="19" spans="1:29" ht="71.25">
      <c r="A19" s="429"/>
      <c r="B19" s="452" t="s">
        <v>2687</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322"/>
      <c r="Q19" s="1815" t="str">
        <f>B19</f>
        <v>办公集聚程度</v>
      </c>
      <c r="R19" s="775" t="s">
        <v>17</v>
      </c>
      <c r="S19" s="776">
        <f>F19</f>
        <v>100</v>
      </c>
      <c r="T19" s="775" t="s">
        <v>17</v>
      </c>
      <c r="U19" s="776">
        <f>H19</f>
        <v>100</v>
      </c>
      <c r="V19" s="775" t="s">
        <v>17</v>
      </c>
      <c r="W19" s="776">
        <f>J19</f>
        <v>100</v>
      </c>
      <c r="X19" s="1818"/>
      <c r="Y19" s="3322"/>
      <c r="Z19" s="1819" t="str">
        <f>Q19</f>
        <v>办公集聚程度</v>
      </c>
      <c r="AA19" s="1816">
        <f t="shared" si="3"/>
        <v>1</v>
      </c>
      <c r="AB19" s="1816">
        <f t="shared" si="4"/>
        <v>1</v>
      </c>
      <c r="AC19" s="1816">
        <f t="shared" si="5"/>
        <v>1</v>
      </c>
    </row>
    <row r="20" spans="1:29" ht="15">
      <c r="A20" s="429"/>
      <c r="B20" s="457"/>
      <c r="C20" s="448"/>
      <c r="D20" s="449"/>
      <c r="E20" s="2608"/>
      <c r="F20" s="449"/>
      <c r="G20" s="2608"/>
      <c r="H20" s="449"/>
      <c r="I20" s="2607"/>
      <c r="J20" s="449"/>
      <c r="K20" s="673"/>
      <c r="L20" s="1144"/>
      <c r="M20" s="1135"/>
      <c r="N20" s="1135"/>
      <c r="O20" s="1143"/>
      <c r="P20" s="3322"/>
      <c r="Q20" s="1815"/>
      <c r="R20" s="775"/>
      <c r="S20" s="776"/>
      <c r="T20" s="775"/>
      <c r="U20" s="776"/>
      <c r="V20" s="775"/>
      <c r="W20" s="776"/>
      <c r="X20" s="1818"/>
      <c r="Y20" s="3322"/>
      <c r="Z20" s="1819"/>
      <c r="AA20" s="1816">
        <v>1</v>
      </c>
      <c r="AB20" s="1816">
        <v>1</v>
      </c>
      <c r="AC20" s="1816">
        <v>1</v>
      </c>
    </row>
    <row r="21" spans="1:29" ht="85.5">
      <c r="A21" s="429"/>
      <c r="B21" s="452" t="s">
        <v>2709</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322"/>
      <c r="Q21" s="1815" t="str">
        <f>B21</f>
        <v>交通便捷度</v>
      </c>
      <c r="R21" s="775" t="s">
        <v>17</v>
      </c>
      <c r="S21" s="776">
        <f>F21</f>
        <v>100</v>
      </c>
      <c r="T21" s="775" t="s">
        <v>17</v>
      </c>
      <c r="U21" s="776">
        <f>H21</f>
        <v>100</v>
      </c>
      <c r="V21" s="775" t="s">
        <v>17</v>
      </c>
      <c r="W21" s="776">
        <f>J21</f>
        <v>100</v>
      </c>
      <c r="X21" s="1818"/>
      <c r="Y21" s="3322"/>
      <c r="Z21" s="1819" t="str">
        <f>Q21</f>
        <v>交通便捷度</v>
      </c>
      <c r="AA21" s="1816">
        <f t="shared" si="3"/>
        <v>1</v>
      </c>
      <c r="AB21" s="1816">
        <f t="shared" si="4"/>
        <v>1</v>
      </c>
      <c r="AC21" s="1816">
        <f t="shared" si="5"/>
        <v>1</v>
      </c>
    </row>
    <row r="22" spans="1:29" ht="15">
      <c r="A22" s="429"/>
      <c r="B22" s="1388"/>
      <c r="C22" s="448"/>
      <c r="D22" s="451"/>
      <c r="E22" s="2608"/>
      <c r="F22" s="449"/>
      <c r="G22" s="2608"/>
      <c r="H22" s="449"/>
      <c r="I22" s="2607"/>
      <c r="J22" s="449"/>
      <c r="K22" s="673"/>
      <c r="L22" s="1144"/>
      <c r="M22" s="1135"/>
      <c r="N22" s="1135"/>
      <c r="O22" s="1143"/>
      <c r="P22" s="3322"/>
      <c r="Q22" s="1815"/>
      <c r="R22" s="775"/>
      <c r="S22" s="776"/>
      <c r="T22" s="775"/>
      <c r="U22" s="776"/>
      <c r="V22" s="775"/>
      <c r="W22" s="776"/>
      <c r="X22" s="1818"/>
      <c r="Y22" s="3322"/>
      <c r="Z22" s="1819"/>
      <c r="AA22" s="1816">
        <v>1</v>
      </c>
      <c r="AB22" s="1816">
        <v>1</v>
      </c>
      <c r="AC22" s="1816">
        <v>1</v>
      </c>
    </row>
    <row r="23" spans="1:29" ht="15">
      <c r="A23" s="405"/>
      <c r="B23" s="452" t="s">
        <v>2748</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322"/>
      <c r="Q23" s="1815" t="str">
        <f t="shared" ref="Q23:Q37" si="8">B23</f>
        <v>区域土地利用方向</v>
      </c>
      <c r="R23" s="775" t="s">
        <v>17</v>
      </c>
      <c r="S23" s="776">
        <f>F23</f>
        <v>100</v>
      </c>
      <c r="T23" s="775" t="s">
        <v>17</v>
      </c>
      <c r="U23" s="776">
        <f>H23</f>
        <v>100</v>
      </c>
      <c r="V23" s="775" t="s">
        <v>17</v>
      </c>
      <c r="W23" s="776">
        <f>J23</f>
        <v>100</v>
      </c>
      <c r="X23" s="1818"/>
      <c r="Y23" s="3322"/>
      <c r="Z23" s="1819" t="str">
        <f>Q23</f>
        <v>区域土地利用方向</v>
      </c>
      <c r="AA23" s="1816">
        <f t="shared" si="3"/>
        <v>1</v>
      </c>
      <c r="AB23" s="1816">
        <f t="shared" si="4"/>
        <v>1</v>
      </c>
      <c r="AC23" s="1816">
        <f t="shared" si="5"/>
        <v>1</v>
      </c>
    </row>
    <row r="24" spans="1:29" ht="15">
      <c r="A24" s="405"/>
      <c r="B24" s="457"/>
      <c r="C24" s="617"/>
      <c r="D24" s="449"/>
      <c r="E24" s="2608"/>
      <c r="F24" s="449"/>
      <c r="G24" s="2607"/>
      <c r="H24" s="449"/>
      <c r="I24" s="2607"/>
      <c r="J24" s="449"/>
      <c r="K24" s="813"/>
      <c r="L24" s="1144"/>
      <c r="M24" s="1135"/>
      <c r="N24" s="1135"/>
      <c r="O24" s="1143"/>
      <c r="P24" s="3322"/>
      <c r="Q24" s="1815"/>
      <c r="R24" s="775"/>
      <c r="S24" s="776"/>
      <c r="T24" s="775"/>
      <c r="U24" s="776"/>
      <c r="V24" s="775"/>
      <c r="W24" s="776"/>
      <c r="X24" s="1818"/>
      <c r="Y24" s="3322"/>
      <c r="Z24" s="1819"/>
      <c r="AA24" s="1816"/>
      <c r="AB24" s="1816"/>
      <c r="AC24" s="1816"/>
    </row>
    <row r="25" spans="1:29" ht="57">
      <c r="A25" s="405"/>
      <c r="B25" s="1388" t="s">
        <v>2749</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322"/>
      <c r="Q25" s="1815" t="str">
        <f t="shared" si="8"/>
        <v>自然及人文环境状况</v>
      </c>
      <c r="R25" s="775" t="s">
        <v>17</v>
      </c>
      <c r="S25" s="776">
        <f>F25</f>
        <v>100</v>
      </c>
      <c r="T25" s="775" t="s">
        <v>17</v>
      </c>
      <c r="U25" s="776">
        <f>H25</f>
        <v>100</v>
      </c>
      <c r="V25" s="775" t="s">
        <v>17</v>
      </c>
      <c r="W25" s="776">
        <f>J25</f>
        <v>100</v>
      </c>
      <c r="X25" s="1818"/>
      <c r="Y25" s="3322"/>
      <c r="Z25" s="1819" t="str">
        <f>Q25</f>
        <v>自然及人文环境状况</v>
      </c>
      <c r="AA25" s="1816">
        <f t="shared" si="3"/>
        <v>1</v>
      </c>
      <c r="AB25" s="1816">
        <f t="shared" si="4"/>
        <v>1</v>
      </c>
      <c r="AC25" s="1816">
        <f t="shared" si="5"/>
        <v>1</v>
      </c>
    </row>
    <row r="26" spans="1:29" ht="15">
      <c r="A26" s="405"/>
      <c r="B26" s="457"/>
      <c r="C26" s="448"/>
      <c r="D26" s="449"/>
      <c r="E26" s="2614"/>
      <c r="F26" s="449"/>
      <c r="G26" s="2614"/>
      <c r="H26" s="449"/>
      <c r="I26" s="448"/>
      <c r="J26" s="449"/>
      <c r="K26" s="673"/>
      <c r="L26" s="1144"/>
      <c r="M26" s="1135"/>
      <c r="N26" s="1135"/>
      <c r="O26" s="1143"/>
      <c r="P26" s="3322"/>
      <c r="Q26" s="1815"/>
      <c r="R26" s="775"/>
      <c r="S26" s="776"/>
      <c r="T26" s="775"/>
      <c r="U26" s="776"/>
      <c r="V26" s="775"/>
      <c r="W26" s="776"/>
      <c r="X26" s="1818"/>
      <c r="Y26" s="3322"/>
      <c r="Z26" s="1819"/>
      <c r="AA26" s="1816">
        <v>1</v>
      </c>
      <c r="AB26" s="1816">
        <v>1</v>
      </c>
      <c r="AC26" s="1816">
        <v>1</v>
      </c>
    </row>
    <row r="27" spans="1:29" s="117" customFormat="1" ht="42.75">
      <c r="A27" s="650"/>
      <c r="B27" s="1388" t="s">
        <v>2654</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322"/>
      <c r="Q27" s="1800" t="str">
        <f t="shared" si="8"/>
        <v>公共配套设施</v>
      </c>
      <c r="R27" s="771" t="s">
        <v>17</v>
      </c>
      <c r="S27" s="772">
        <f>F27</f>
        <v>100</v>
      </c>
      <c r="T27" s="771" t="s">
        <v>17</v>
      </c>
      <c r="U27" s="772">
        <f>H27</f>
        <v>100</v>
      </c>
      <c r="V27" s="771" t="s">
        <v>17</v>
      </c>
      <c r="W27" s="772">
        <f>J27</f>
        <v>100</v>
      </c>
      <c r="X27" s="773"/>
      <c r="Y27" s="3322"/>
      <c r="Z27" s="55" t="str">
        <f>Q27</f>
        <v>公共配套设施</v>
      </c>
      <c r="AA27" s="1816">
        <f>D27/F27</f>
        <v>1</v>
      </c>
      <c r="AB27" s="1816">
        <f>D27/H27</f>
        <v>1</v>
      </c>
      <c r="AC27" s="1816">
        <f>D27/J27</f>
        <v>1</v>
      </c>
    </row>
    <row r="28" spans="1:29" s="117" customFormat="1" ht="15">
      <c r="A28" s="650"/>
      <c r="B28" s="457"/>
      <c r="C28" s="2703"/>
      <c r="D28" s="449"/>
      <c r="E28" s="2614"/>
      <c r="F28" s="449"/>
      <c r="G28" s="2614"/>
      <c r="H28" s="449"/>
      <c r="I28" s="448"/>
      <c r="J28" s="449"/>
      <c r="K28" s="673"/>
      <c r="L28" s="1136"/>
      <c r="M28" s="1137"/>
      <c r="N28" s="1137"/>
      <c r="O28" s="1138"/>
      <c r="P28" s="3322"/>
      <c r="Q28" s="1800"/>
      <c r="R28" s="771"/>
      <c r="S28" s="772"/>
      <c r="T28" s="771"/>
      <c r="U28" s="772"/>
      <c r="V28" s="771"/>
      <c r="W28" s="772"/>
      <c r="X28" s="773"/>
      <c r="Y28" s="3322"/>
      <c r="Z28" s="55"/>
      <c r="AA28" s="1816">
        <v>1</v>
      </c>
      <c r="AB28" s="1816">
        <v>1</v>
      </c>
      <c r="AC28" s="1816">
        <v>1</v>
      </c>
    </row>
    <row r="29" spans="1:29" s="117" customFormat="1" ht="28.5">
      <c r="A29" s="650"/>
      <c r="B29" s="1388" t="s">
        <v>2655</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322"/>
      <c r="Q29" s="1800" t="str">
        <f t="shared" ref="Q29" si="9">B29</f>
        <v>基础设施水平</v>
      </c>
      <c r="R29" s="771" t="s">
        <v>17</v>
      </c>
      <c r="S29" s="772">
        <f>F29</f>
        <v>100</v>
      </c>
      <c r="T29" s="771" t="s">
        <v>17</v>
      </c>
      <c r="U29" s="772">
        <f>H29</f>
        <v>100</v>
      </c>
      <c r="V29" s="771" t="s">
        <v>17</v>
      </c>
      <c r="W29" s="772">
        <f>J29</f>
        <v>100</v>
      </c>
      <c r="X29" s="773"/>
      <c r="Y29" s="3322"/>
      <c r="Z29" s="55" t="str">
        <f>Q29</f>
        <v>基础设施水平</v>
      </c>
      <c r="AA29" s="1816">
        <f>D29/F29</f>
        <v>1</v>
      </c>
      <c r="AB29" s="1816">
        <f>D29/H29</f>
        <v>1</v>
      </c>
      <c r="AC29" s="1816">
        <f>D29/J29</f>
        <v>1</v>
      </c>
    </row>
    <row r="30" spans="1:29" s="117" customFormat="1" ht="15">
      <c r="A30" s="650"/>
      <c r="B30" s="457"/>
      <c r="C30" s="2703"/>
      <c r="D30" s="449"/>
      <c r="E30" s="2704"/>
      <c r="F30" s="449"/>
      <c r="G30" s="2704"/>
      <c r="H30" s="449"/>
      <c r="I30" s="2704"/>
      <c r="J30" s="449"/>
      <c r="K30" s="673"/>
      <c r="L30" s="1136"/>
      <c r="M30" s="1137"/>
      <c r="N30" s="1137"/>
      <c r="O30" s="1138"/>
      <c r="P30" s="3322"/>
      <c r="Q30" s="1800"/>
      <c r="R30" s="771"/>
      <c r="S30" s="772"/>
      <c r="T30" s="771"/>
      <c r="U30" s="772"/>
      <c r="V30" s="771"/>
      <c r="W30" s="772"/>
      <c r="X30" s="773"/>
      <c r="Y30" s="3322"/>
      <c r="Z30" s="55"/>
      <c r="AA30" s="1816">
        <v>1</v>
      </c>
      <c r="AB30" s="1816">
        <v>1</v>
      </c>
      <c r="AC30" s="1816">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322"/>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322"/>
      <c r="Z31" s="1819" t="str">
        <f t="shared" ref="Z31:Z45" si="13">Q31</f>
        <v>临街状况</v>
      </c>
      <c r="AA31" s="1816">
        <f t="shared" si="3"/>
        <v>1</v>
      </c>
      <c r="AB31" s="1816">
        <f t="shared" si="4"/>
        <v>1</v>
      </c>
      <c r="AC31" s="1816">
        <f t="shared" si="5"/>
        <v>1</v>
      </c>
    </row>
    <row r="32" spans="1:29" ht="27">
      <c r="A32" s="429"/>
      <c r="B32" s="1388"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322"/>
      <c r="Q32" s="1815" t="str">
        <f t="shared" si="8"/>
        <v>毗邻道路的类型与等级</v>
      </c>
      <c r="R32" s="775" t="s">
        <v>17</v>
      </c>
      <c r="S32" s="776">
        <f t="shared" si="10"/>
        <v>100</v>
      </c>
      <c r="T32" s="775" t="s">
        <v>17</v>
      </c>
      <c r="U32" s="776">
        <f t="shared" si="11"/>
        <v>100</v>
      </c>
      <c r="V32" s="775" t="s">
        <v>17</v>
      </c>
      <c r="W32" s="776">
        <f t="shared" si="12"/>
        <v>100</v>
      </c>
      <c r="X32" s="1818"/>
      <c r="Y32" s="3322"/>
      <c r="Z32" s="1819" t="str">
        <f t="shared" si="13"/>
        <v>毗邻道路的类型与等级</v>
      </c>
      <c r="AA32" s="1816">
        <f t="shared" si="3"/>
        <v>1</v>
      </c>
      <c r="AB32" s="1816">
        <f t="shared" si="4"/>
        <v>1</v>
      </c>
      <c r="AC32" s="1816">
        <f t="shared" si="5"/>
        <v>1</v>
      </c>
    </row>
    <row r="33" spans="1:29" ht="15">
      <c r="A33" s="429"/>
      <c r="B33" s="457"/>
      <c r="C33" s="448"/>
      <c r="D33" s="449"/>
      <c r="E33" s="2614"/>
      <c r="F33" s="449"/>
      <c r="G33" s="2614"/>
      <c r="H33" s="449"/>
      <c r="I33" s="448"/>
      <c r="J33" s="449"/>
      <c r="K33" s="614"/>
      <c r="L33" s="1144"/>
      <c r="M33" s="1135"/>
      <c r="N33" s="1135"/>
      <c r="O33" s="1143"/>
      <c r="P33" s="3322"/>
      <c r="Q33" s="1815"/>
      <c r="R33" s="775"/>
      <c r="S33" s="776"/>
      <c r="T33" s="775"/>
      <c r="U33" s="776"/>
      <c r="V33" s="775"/>
      <c r="W33" s="776"/>
      <c r="X33" s="1818"/>
      <c r="Y33" s="3322"/>
      <c r="Z33" s="1819"/>
      <c r="AA33" s="1816">
        <v>1</v>
      </c>
      <c r="AB33" s="1816">
        <v>1</v>
      </c>
      <c r="AC33" s="1816">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322"/>
      <c r="Q34" s="1815" t="str">
        <f t="shared" si="8"/>
        <v>土地级别</v>
      </c>
      <c r="R34" s="775" t="s">
        <v>17</v>
      </c>
      <c r="S34" s="776">
        <f t="shared" si="10"/>
        <v>100</v>
      </c>
      <c r="T34" s="775" t="s">
        <v>17</v>
      </c>
      <c r="U34" s="776">
        <f t="shared" si="11"/>
        <v>100</v>
      </c>
      <c r="V34" s="775" t="s">
        <v>17</v>
      </c>
      <c r="W34" s="776">
        <f t="shared" si="12"/>
        <v>100</v>
      </c>
      <c r="X34" s="1818"/>
      <c r="Y34" s="3322"/>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322"/>
      <c r="Q35" s="1815">
        <f t="shared" si="8"/>
        <v>111</v>
      </c>
      <c r="R35" s="775" t="s">
        <v>17</v>
      </c>
      <c r="S35" s="776">
        <f t="shared" si="10"/>
        <v>100</v>
      </c>
      <c r="T35" s="775" t="s">
        <v>17</v>
      </c>
      <c r="U35" s="776">
        <f t="shared" si="11"/>
        <v>100</v>
      </c>
      <c r="V35" s="775" t="s">
        <v>17</v>
      </c>
      <c r="W35" s="776">
        <f t="shared" si="12"/>
        <v>100</v>
      </c>
      <c r="X35" s="1818"/>
      <c r="Y35" s="3322"/>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409" t="s">
        <v>2565</v>
      </c>
      <c r="Q36" s="1815">
        <f t="shared" si="8"/>
        <v>111</v>
      </c>
      <c r="R36" s="775" t="s">
        <v>17</v>
      </c>
      <c r="S36" s="776">
        <f t="shared" si="10"/>
        <v>100</v>
      </c>
      <c r="T36" s="775" t="s">
        <v>17</v>
      </c>
      <c r="U36" s="776">
        <f t="shared" si="11"/>
        <v>100</v>
      </c>
      <c r="V36" s="775" t="s">
        <v>17</v>
      </c>
      <c r="W36" s="776">
        <f t="shared" si="12"/>
        <v>100</v>
      </c>
      <c r="X36" s="1818"/>
      <c r="Y36" s="3326" t="s">
        <v>2565</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326"/>
      <c r="Q37" s="1815">
        <f t="shared" si="8"/>
        <v>111</v>
      </c>
      <c r="R37" s="778" t="s">
        <v>17</v>
      </c>
      <c r="S37" s="779">
        <f t="shared" si="10"/>
        <v>100</v>
      </c>
      <c r="T37" s="778" t="s">
        <v>17</v>
      </c>
      <c r="U37" s="779">
        <f t="shared" si="11"/>
        <v>100</v>
      </c>
      <c r="V37" s="778" t="s">
        <v>17</v>
      </c>
      <c r="W37" s="779">
        <f t="shared" si="12"/>
        <v>100</v>
      </c>
      <c r="X37" s="780"/>
      <c r="Y37" s="3326"/>
      <c r="Z37" s="781">
        <f t="shared" si="13"/>
        <v>111</v>
      </c>
      <c r="AA37" s="1816">
        <f t="shared" si="3"/>
        <v>1</v>
      </c>
      <c r="AB37" s="1816">
        <f t="shared" si="4"/>
        <v>1</v>
      </c>
      <c r="AC37" s="1816">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326"/>
      <c r="Q38" s="1815" t="str">
        <f>B38</f>
        <v>宗地面积</v>
      </c>
      <c r="R38" s="775" t="s">
        <v>17</v>
      </c>
      <c r="S38" s="776" t="e">
        <f t="shared" si="10"/>
        <v>#N/A</v>
      </c>
      <c r="T38" s="775" t="s">
        <v>17</v>
      </c>
      <c r="U38" s="776" t="e">
        <f t="shared" si="11"/>
        <v>#N/A</v>
      </c>
      <c r="V38" s="775" t="s">
        <v>17</v>
      </c>
      <c r="W38" s="776" t="e">
        <f t="shared" si="12"/>
        <v>#N/A</v>
      </c>
      <c r="X38" s="1818"/>
      <c r="Y38" s="3326"/>
      <c r="Z38" s="1819" t="str">
        <f t="shared" si="13"/>
        <v>宗地面积</v>
      </c>
      <c r="AA38" s="1816" t="e">
        <f t="shared" si="3"/>
        <v>#N/A</v>
      </c>
      <c r="AB38" s="1816" t="e">
        <f t="shared" si="4"/>
        <v>#N/A</v>
      </c>
      <c r="AC38" s="1816" t="e">
        <f t="shared" si="5"/>
        <v>#N/A</v>
      </c>
    </row>
    <row r="39" spans="1:29" ht="15">
      <c r="A39" s="473"/>
      <c r="B39" s="423" t="s">
        <v>2752</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4"/>
      <c r="M39" s="1135"/>
      <c r="N39" s="1135"/>
      <c r="O39" s="1143"/>
      <c r="P39" s="3326"/>
      <c r="Q39" s="1815" t="str">
        <f t="shared" ref="Q39:Q45" si="14">B39</f>
        <v>宗地形状</v>
      </c>
      <c r="R39" s="775" t="s">
        <v>17</v>
      </c>
      <c r="S39" s="776">
        <f t="shared" si="10"/>
        <v>100</v>
      </c>
      <c r="T39" s="775" t="s">
        <v>17</v>
      </c>
      <c r="U39" s="776">
        <f t="shared" si="11"/>
        <v>100</v>
      </c>
      <c r="V39" s="775" t="s">
        <v>17</v>
      </c>
      <c r="W39" s="776">
        <f t="shared" si="12"/>
        <v>100</v>
      </c>
      <c r="X39" s="1818"/>
      <c r="Y39" s="3326"/>
      <c r="Z39" s="1819" t="str">
        <f t="shared" si="13"/>
        <v>宗地形状</v>
      </c>
      <c r="AA39" s="1816">
        <f t="shared" si="3"/>
        <v>1</v>
      </c>
      <c r="AB39" s="1816">
        <f t="shared" si="4"/>
        <v>1</v>
      </c>
      <c r="AC39" s="1816">
        <f t="shared" si="5"/>
        <v>1</v>
      </c>
    </row>
    <row r="40" spans="1:29" ht="15">
      <c r="A40" s="473"/>
      <c r="B40" s="423" t="s">
        <v>2753</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4"/>
      <c r="M40" s="1135"/>
      <c r="N40" s="1135"/>
      <c r="O40" s="1143"/>
      <c r="P40" s="3326"/>
      <c r="Q40" s="1815" t="str">
        <f t="shared" si="14"/>
        <v>临街宽度及深度</v>
      </c>
      <c r="R40" s="775" t="s">
        <v>17</v>
      </c>
      <c r="S40" s="776">
        <f t="shared" si="10"/>
        <v>100</v>
      </c>
      <c r="T40" s="775" t="s">
        <v>17</v>
      </c>
      <c r="U40" s="776">
        <f t="shared" si="11"/>
        <v>100</v>
      </c>
      <c r="V40" s="775" t="s">
        <v>17</v>
      </c>
      <c r="W40" s="776">
        <f t="shared" si="12"/>
        <v>100</v>
      </c>
      <c r="X40" s="1818"/>
      <c r="Y40" s="3326"/>
      <c r="Z40" s="1819" t="str">
        <f t="shared" si="13"/>
        <v>临街宽度及深度</v>
      </c>
      <c r="AA40" s="1816">
        <f t="shared" si="3"/>
        <v>1</v>
      </c>
      <c r="AB40" s="1816">
        <f t="shared" si="4"/>
        <v>1</v>
      </c>
      <c r="AC40" s="1816">
        <f t="shared" si="5"/>
        <v>1</v>
      </c>
    </row>
    <row r="41" spans="1:29" s="117" customFormat="1" ht="15">
      <c r="A41" s="474"/>
      <c r="B41" s="423" t="s">
        <v>2754</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6"/>
      <c r="M41" s="1137"/>
      <c r="N41" s="1137"/>
      <c r="O41" s="1138"/>
      <c r="P41" s="3326"/>
      <c r="Q41" s="1815" t="str">
        <f t="shared" si="14"/>
        <v>宗地开发程度</v>
      </c>
      <c r="R41" s="771" t="s">
        <v>17</v>
      </c>
      <c r="S41" s="772">
        <f t="shared" si="10"/>
        <v>100</v>
      </c>
      <c r="T41" s="771" t="s">
        <v>17</v>
      </c>
      <c r="U41" s="772">
        <f t="shared" si="11"/>
        <v>100</v>
      </c>
      <c r="V41" s="771" t="s">
        <v>17</v>
      </c>
      <c r="W41" s="772">
        <f t="shared" si="12"/>
        <v>100</v>
      </c>
      <c r="X41" s="773"/>
      <c r="Y41" s="3326"/>
      <c r="Z41" s="55" t="str">
        <f t="shared" si="13"/>
        <v>宗地开发程度</v>
      </c>
      <c r="AA41" s="774">
        <f t="shared" si="3"/>
        <v>1</v>
      </c>
      <c r="AB41" s="774">
        <f t="shared" si="4"/>
        <v>1</v>
      </c>
      <c r="AC41" s="774">
        <f t="shared" si="5"/>
        <v>1</v>
      </c>
    </row>
    <row r="42" spans="1:29" ht="15">
      <c r="A42" s="473"/>
      <c r="B42" s="423" t="s">
        <v>2755</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4"/>
      <c r="M42" s="1135"/>
      <c r="N42" s="1135"/>
      <c r="O42" s="1143"/>
      <c r="P42" s="3326" t="s">
        <v>2565</v>
      </c>
      <c r="Q42" s="1815" t="str">
        <f t="shared" si="14"/>
        <v>工程地质条件</v>
      </c>
      <c r="R42" s="775" t="s">
        <v>17</v>
      </c>
      <c r="S42" s="776">
        <f t="shared" si="10"/>
        <v>100</v>
      </c>
      <c r="T42" s="775" t="s">
        <v>17</v>
      </c>
      <c r="U42" s="776">
        <f t="shared" si="11"/>
        <v>100</v>
      </c>
      <c r="V42" s="775" t="s">
        <v>17</v>
      </c>
      <c r="W42" s="776">
        <f t="shared" si="12"/>
        <v>100</v>
      </c>
      <c r="X42" s="1818"/>
      <c r="Y42" s="3326" t="s">
        <v>2565</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326"/>
      <c r="Q43" s="1815">
        <f t="shared" si="14"/>
        <v>111</v>
      </c>
      <c r="R43" s="775" t="s">
        <v>17</v>
      </c>
      <c r="S43" s="776">
        <f t="shared" si="10"/>
        <v>100</v>
      </c>
      <c r="T43" s="775" t="s">
        <v>17</v>
      </c>
      <c r="U43" s="776">
        <f t="shared" si="11"/>
        <v>100</v>
      </c>
      <c r="V43" s="775" t="s">
        <v>17</v>
      </c>
      <c r="W43" s="776">
        <f t="shared" si="12"/>
        <v>100</v>
      </c>
      <c r="X43" s="1818"/>
      <c r="Y43" s="3326"/>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326"/>
      <c r="Q44" s="1815">
        <f t="shared" si="14"/>
        <v>111</v>
      </c>
      <c r="R44" s="775" t="s">
        <v>17</v>
      </c>
      <c r="S44" s="776">
        <f t="shared" si="10"/>
        <v>100</v>
      </c>
      <c r="T44" s="775" t="s">
        <v>17</v>
      </c>
      <c r="U44" s="776">
        <f t="shared" si="11"/>
        <v>100</v>
      </c>
      <c r="V44" s="775" t="s">
        <v>17</v>
      </c>
      <c r="W44" s="776">
        <f t="shared" si="12"/>
        <v>100</v>
      </c>
      <c r="X44" s="1818"/>
      <c r="Y44" s="3326"/>
      <c r="Z44" s="1819">
        <f t="shared" si="13"/>
        <v>111</v>
      </c>
      <c r="AA44" s="1816">
        <f t="shared" si="3"/>
        <v>1</v>
      </c>
      <c r="AB44" s="1816">
        <f t="shared" si="4"/>
        <v>1</v>
      </c>
      <c r="AC44" s="1816">
        <f t="shared" si="5"/>
        <v>1</v>
      </c>
    </row>
    <row r="45" spans="1:29" s="472" customFormat="1" ht="15.75" thickBot="1">
      <c r="A45" s="469"/>
      <c r="B45" s="1391">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326"/>
      <c r="Q45" s="1815">
        <f t="shared" si="14"/>
        <v>111</v>
      </c>
      <c r="R45" s="778" t="s">
        <v>17</v>
      </c>
      <c r="S45" s="779">
        <f t="shared" si="10"/>
        <v>100</v>
      </c>
      <c r="T45" s="778" t="s">
        <v>17</v>
      </c>
      <c r="U45" s="779">
        <f t="shared" si="11"/>
        <v>100</v>
      </c>
      <c r="V45" s="778" t="s">
        <v>17</v>
      </c>
      <c r="W45" s="779">
        <f t="shared" si="12"/>
        <v>100</v>
      </c>
      <c r="X45" s="780"/>
      <c r="Y45" s="3326"/>
      <c r="Z45" s="781">
        <f t="shared" si="13"/>
        <v>111</v>
      </c>
      <c r="AA45" s="1816">
        <f t="shared" si="3"/>
        <v>1</v>
      </c>
      <c r="AB45" s="1816">
        <f t="shared" si="4"/>
        <v>1</v>
      </c>
      <c r="AC45" s="1816">
        <f t="shared" si="5"/>
        <v>1</v>
      </c>
    </row>
    <row r="46" spans="1:29" ht="15">
      <c r="A46" s="480" t="s">
        <v>2720</v>
      </c>
      <c r="B46" s="2707" t="s">
        <v>2756</v>
      </c>
      <c r="C46" s="683" t="s">
        <v>1</v>
      </c>
      <c r="D46" s="482"/>
      <c r="E46" s="483"/>
      <c r="F46" s="484"/>
      <c r="G46" s="485"/>
      <c r="H46" s="486"/>
      <c r="I46" s="483"/>
      <c r="J46" s="486"/>
      <c r="K46" s="784"/>
      <c r="L46" s="1147"/>
      <c r="M46" s="1148"/>
      <c r="N46" s="1135"/>
      <c r="O46" s="1148"/>
      <c r="P46" s="3314" t="str">
        <f>A46</f>
        <v>成交单价</v>
      </c>
      <c r="Q46" s="3314"/>
      <c r="R46" s="3348">
        <f>E46</f>
        <v>0</v>
      </c>
      <c r="S46" s="3348"/>
      <c r="T46" s="3348">
        <f>G46</f>
        <v>0</v>
      </c>
      <c r="U46" s="3348"/>
      <c r="V46" s="3348">
        <f>I46</f>
        <v>0</v>
      </c>
      <c r="W46" s="3348"/>
      <c r="X46" s="760"/>
      <c r="Y46" s="782"/>
      <c r="Z46" s="760"/>
      <c r="AA46" s="760"/>
      <c r="AB46" s="760"/>
      <c r="AC46" s="760"/>
    </row>
    <row r="47" spans="1:29" ht="15.75" thickBot="1">
      <c r="A47" s="487" t="s">
        <v>2669</v>
      </c>
      <c r="B47" s="684"/>
      <c r="C47" s="491" t="e">
        <f>R48</f>
        <v>#DIV/0!</v>
      </c>
      <c r="D47" s="490"/>
      <c r="E47" s="491" t="e">
        <f>R47</f>
        <v>#DIV/0!</v>
      </c>
      <c r="F47" s="492"/>
      <c r="G47" s="489" t="e">
        <f>T47</f>
        <v>#DIV/0!</v>
      </c>
      <c r="H47" s="490"/>
      <c r="I47" s="491" t="e">
        <f>V47</f>
        <v>#DIV/0!</v>
      </c>
      <c r="J47" s="490"/>
      <c r="K47" s="785"/>
      <c r="L47" s="1147"/>
      <c r="M47" s="1148"/>
      <c r="N47" s="1148"/>
      <c r="O47" s="1148"/>
      <c r="P47" s="3314" t="str">
        <f>A47</f>
        <v>比较价值（元/平方米）</v>
      </c>
      <c r="Q47" s="3314"/>
      <c r="R47" s="3410" t="e">
        <f>ROUND(PRODUCT(R46,AA7:AA45),0)</f>
        <v>#DIV/0!</v>
      </c>
      <c r="S47" s="3410"/>
      <c r="T47" s="3410" t="e">
        <f>ROUND(PRODUCT(T46,AB7:AB45),0)</f>
        <v>#DIV/0!</v>
      </c>
      <c r="U47" s="3410"/>
      <c r="V47" s="3410" t="e">
        <f>ROUND(PRODUCT(V46,AC7:AC45),0)</f>
        <v>#DIV/0!</v>
      </c>
      <c r="W47" s="3410"/>
      <c r="X47" s="760"/>
      <c r="Y47" s="760"/>
      <c r="Z47" s="760"/>
      <c r="AA47" s="760"/>
      <c r="AB47" s="760"/>
      <c r="AC47" s="760"/>
    </row>
    <row r="48" spans="1:29" ht="15.75" thickBot="1">
      <c r="A48" s="493" t="s">
        <v>2757</v>
      </c>
      <c r="B48" s="494"/>
      <c r="C48" s="495" t="e">
        <f>R48</f>
        <v>#DIV/0!</v>
      </c>
      <c r="D48" s="495"/>
      <c r="E48" s="495"/>
      <c r="F48" s="495"/>
      <c r="G48" s="495"/>
      <c r="H48" s="495"/>
      <c r="I48" s="495"/>
      <c r="J48" s="495"/>
      <c r="K48" s="786"/>
      <c r="L48" s="1147"/>
      <c r="M48" s="1148"/>
      <c r="N48" s="1148"/>
      <c r="O48" s="1148"/>
      <c r="P48" s="3377" t="str">
        <f>A48</f>
        <v>估价对象XX用房的比较价值（楼面单价，元/平方米）</v>
      </c>
      <c r="Q48" s="3378"/>
      <c r="R48" s="3411" t="e">
        <f>ROUND(AVERAGE(R47:V47),0)</f>
        <v>#DIV/0!</v>
      </c>
      <c r="S48" s="3411"/>
      <c r="T48" s="3411"/>
      <c r="U48" s="3411"/>
      <c r="V48" s="3411"/>
      <c r="W48" s="341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2758</v>
      </c>
      <c r="B55" s="686" t="s">
        <v>2759</v>
      </c>
      <c r="C55" s="2708" t="s">
        <v>2760</v>
      </c>
      <c r="D55" s="2709" t="s">
        <v>2761</v>
      </c>
      <c r="E55" s="687" t="s">
        <v>2762</v>
      </c>
      <c r="F55" s="1111" t="s">
        <v>2763</v>
      </c>
      <c r="G55" s="3331" t="s">
        <v>2764</v>
      </c>
      <c r="H55" s="3412"/>
      <c r="I55" s="144" t="s">
        <v>2765</v>
      </c>
      <c r="J55" s="2710">
        <f>项目基本情况!F35</f>
        <v>0</v>
      </c>
      <c r="K55" s="2711" t="s">
        <v>2766</v>
      </c>
      <c r="L55" s="1110"/>
      <c r="M55" s="1148"/>
      <c r="N55" s="1148"/>
      <c r="O55" s="1148"/>
    </row>
    <row r="56" spans="1:15" s="693" customFormat="1">
      <c r="A56" s="689" t="s">
        <v>2767</v>
      </c>
      <c r="B56" s="690" t="e">
        <f>C48</f>
        <v>#DIV/0!</v>
      </c>
      <c r="C56" s="691">
        <v>1</v>
      </c>
      <c r="D56" s="1167">
        <v>1</v>
      </c>
      <c r="E56" s="691">
        <f>'数据-汇总表'!E8+'数据-汇总表'!E9</f>
        <v>66448.330000000016</v>
      </c>
      <c r="F56" s="1107" t="e">
        <f t="shared" ref="F56:F65" si="15">ROUND(B56*E56/10000,0)</f>
        <v>#DIV/0!</v>
      </c>
      <c r="G56" s="3313"/>
      <c r="H56" s="3314"/>
      <c r="I56" s="1112">
        <v>1</v>
      </c>
      <c r="J56" s="1115">
        <v>1</v>
      </c>
      <c r="K56" s="1149"/>
      <c r="L56" s="945"/>
      <c r="M56" s="945"/>
      <c r="N56" s="945"/>
      <c r="O56" s="945"/>
    </row>
    <row r="57" spans="1:15" s="693" customFormat="1">
      <c r="A57" s="694" t="s">
        <v>2768</v>
      </c>
      <c r="B57" s="263" t="e">
        <f>ROUND($C$48*C57*D57,0)</f>
        <v>#DIV/0!</v>
      </c>
      <c r="C57" s="201">
        <f t="shared" ref="C57:C65" si="16">IF($C$55="北京市系数",I57,J57)</f>
        <v>0.7</v>
      </c>
      <c r="D57" s="1168">
        <v>0.25</v>
      </c>
      <c r="E57" s="695"/>
      <c r="F57" s="1107" t="e">
        <f t="shared" si="15"/>
        <v>#DIV/0!</v>
      </c>
      <c r="G57" s="3413" t="s">
        <v>2769</v>
      </c>
      <c r="H57" s="1108" t="str">
        <f>项目基本情况!B37</f>
        <v>三级</v>
      </c>
      <c r="I57" s="1112">
        <f>SUMIF(修正!A45:A56,H57,修正!B45:B56)</f>
        <v>0.7</v>
      </c>
      <c r="J57" s="1116"/>
      <c r="K57" s="1148"/>
      <c r="L57" s="945"/>
      <c r="M57" s="945"/>
      <c r="N57" s="945"/>
      <c r="O57" s="945"/>
    </row>
    <row r="58" spans="1:15" s="693" customFormat="1">
      <c r="A58" s="694" t="s">
        <v>2770</v>
      </c>
      <c r="B58" s="263" t="e">
        <f t="shared" ref="B58:B65" si="17">ROUND($C$48*C58*D58,0)</f>
        <v>#DIV/0!</v>
      </c>
      <c r="C58" s="201">
        <f t="shared" si="16"/>
        <v>0.4</v>
      </c>
      <c r="D58" s="1168">
        <v>0.25</v>
      </c>
      <c r="E58" s="695"/>
      <c r="F58" s="1107" t="e">
        <f t="shared" si="15"/>
        <v>#DIV/0!</v>
      </c>
      <c r="G58" s="3413"/>
      <c r="H58" s="1108" t="str">
        <f>项目基本情况!B37</f>
        <v>三级</v>
      </c>
      <c r="I58" s="1112">
        <f>SUMIF(修正!A45:A56,H58,修正!C45:C56)</f>
        <v>0.4</v>
      </c>
      <c r="J58" s="1116"/>
      <c r="K58" s="1149"/>
      <c r="L58" s="945"/>
      <c r="M58" s="945"/>
      <c r="N58" s="945"/>
      <c r="O58" s="945"/>
    </row>
    <row r="59" spans="1:15" s="693" customFormat="1">
      <c r="A59" s="694" t="s">
        <v>2771</v>
      </c>
      <c r="B59" s="263" t="e">
        <f t="shared" si="17"/>
        <v>#DIV/0!</v>
      </c>
      <c r="C59" s="201">
        <f t="shared" si="16"/>
        <v>0.28000000000000003</v>
      </c>
      <c r="D59" s="1168">
        <v>0.25</v>
      </c>
      <c r="E59" s="695"/>
      <c r="F59" s="1107" t="e">
        <f t="shared" si="15"/>
        <v>#DIV/0!</v>
      </c>
      <c r="G59" s="3413"/>
      <c r="H59" s="1108" t="str">
        <f>项目基本情况!B37</f>
        <v>三级</v>
      </c>
      <c r="I59" s="1112">
        <f>SUMIF(修正!A45:A56,H59,修正!D45:D56)</f>
        <v>0.28000000000000003</v>
      </c>
      <c r="J59" s="1116"/>
      <c r="K59" s="1148"/>
      <c r="L59" s="945"/>
      <c r="M59" s="945"/>
      <c r="N59" s="945"/>
      <c r="O59" s="945"/>
    </row>
    <row r="60" spans="1:15" s="693" customFormat="1">
      <c r="A60" s="694" t="s">
        <v>2772</v>
      </c>
      <c r="B60" s="263" t="e">
        <f t="shared" si="17"/>
        <v>#DIV/0!</v>
      </c>
      <c r="C60" s="201">
        <f t="shared" si="16"/>
        <v>0.25</v>
      </c>
      <c r="D60" s="1168">
        <v>0.25</v>
      </c>
      <c r="E60" s="695"/>
      <c r="F60" s="1107" t="e">
        <f t="shared" si="15"/>
        <v>#DIV/0!</v>
      </c>
      <c r="G60" s="3413"/>
      <c r="H60" s="1108" t="str">
        <f>项目基本情况!B37</f>
        <v>三级</v>
      </c>
      <c r="I60" s="1112">
        <f>SUMIF(修正!A45:A56,H60,修正!E45:E56)</f>
        <v>0.25</v>
      </c>
      <c r="J60" s="1116"/>
      <c r="K60" s="1149"/>
      <c r="L60" s="945"/>
      <c r="M60" s="945"/>
      <c r="N60" s="945"/>
      <c r="O60" s="945"/>
    </row>
    <row r="61" spans="1:15" s="693" customFormat="1">
      <c r="A61" s="694" t="s">
        <v>2773</v>
      </c>
      <c r="B61" s="263" t="e">
        <f t="shared" si="17"/>
        <v>#DIV/0!</v>
      </c>
      <c r="C61" s="201">
        <f t="shared" si="16"/>
        <v>0.25</v>
      </c>
      <c r="D61" s="1168">
        <v>0.25</v>
      </c>
      <c r="E61" s="262">
        <f>'数据-汇总表'!E11</f>
        <v>0</v>
      </c>
      <c r="F61" s="1107" t="e">
        <f t="shared" si="15"/>
        <v>#DIV/0!</v>
      </c>
      <c r="G61" s="2712" t="s">
        <v>2774</v>
      </c>
      <c r="H61" s="1108" t="str">
        <f>项目基本情况!C37</f>
        <v>三级</v>
      </c>
      <c r="I61" s="1112">
        <f>SUMIF(修正!A45:A56,H61,修正!F45:F56)</f>
        <v>0.25</v>
      </c>
      <c r="J61" s="1116"/>
      <c r="K61" s="1148"/>
      <c r="L61" s="945"/>
      <c r="M61" s="945"/>
      <c r="N61" s="945"/>
      <c r="O61" s="945"/>
    </row>
    <row r="62" spans="1:15" s="693" customFormat="1">
      <c r="A62" s="694" t="s">
        <v>2775</v>
      </c>
      <c r="B62" s="263" t="e">
        <f t="shared" si="17"/>
        <v>#DIV/0!</v>
      </c>
      <c r="C62" s="201">
        <f t="shared" si="16"/>
        <v>0.25</v>
      </c>
      <c r="D62" s="1168">
        <v>0.25</v>
      </c>
      <c r="E62" s="262">
        <f>'数据-汇总表'!E12</f>
        <v>0</v>
      </c>
      <c r="F62" s="1107" t="e">
        <f t="shared" si="15"/>
        <v>#DIV/0!</v>
      </c>
      <c r="G62" s="1113" t="s">
        <v>2776</v>
      </c>
      <c r="H62" s="1108" t="str">
        <f>IF(G62="商业",项目基本情况!B37,IF(G62="办公",项目基本情况!C37,IF(G62="住宅",项目基本情况!D37,项目基本情况!E37)))</f>
        <v>三级</v>
      </c>
      <c r="I62" s="1112">
        <f>SUMIF(修正!A45:A56,H62,修正!G45:G56)</f>
        <v>0.25</v>
      </c>
      <c r="J62" s="1116"/>
      <c r="K62" s="1149"/>
      <c r="L62" s="945"/>
      <c r="M62" s="945"/>
      <c r="N62" s="945"/>
      <c r="O62" s="945"/>
    </row>
    <row r="63" spans="1:15" s="693" customFormat="1">
      <c r="A63" s="694" t="s">
        <v>2777</v>
      </c>
      <c r="B63" s="263" t="e">
        <f t="shared" si="17"/>
        <v>#DIV/0!</v>
      </c>
      <c r="C63" s="201">
        <f t="shared" si="16"/>
        <v>0</v>
      </c>
      <c r="D63" s="1168">
        <v>0.25</v>
      </c>
      <c r="E63" s="262">
        <f>'数据-汇总表'!E13</f>
        <v>0</v>
      </c>
      <c r="F63" s="1107" t="e">
        <f t="shared" si="15"/>
        <v>#DIV/0!</v>
      </c>
      <c r="G63" s="1113" t="s">
        <v>2778</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2779</v>
      </c>
      <c r="B64" s="263" t="e">
        <f t="shared" si="17"/>
        <v>#DIV/0!</v>
      </c>
      <c r="C64" s="201">
        <f t="shared" si="16"/>
        <v>0.2</v>
      </c>
      <c r="D64" s="1168">
        <v>0.25</v>
      </c>
      <c r="E64" s="262">
        <f>'数据-汇总表'!E14</f>
        <v>0</v>
      </c>
      <c r="F64" s="1107" t="e">
        <f t="shared" si="15"/>
        <v>#DIV/0!</v>
      </c>
      <c r="G64" s="2712" t="s">
        <v>2769</v>
      </c>
      <c r="H64" s="1108" t="str">
        <f>项目基本情况!B37</f>
        <v>三级</v>
      </c>
      <c r="I64" s="1112">
        <f>SUMIF(修正!A45:A56,H64,修正!H45:H56)</f>
        <v>0.2</v>
      </c>
      <c r="J64" s="1116"/>
      <c r="K64" s="1149"/>
      <c r="L64" s="945"/>
      <c r="M64" s="945"/>
      <c r="N64" s="945"/>
      <c r="O64" s="945"/>
    </row>
    <row r="65" spans="1:17" s="693" customFormat="1" ht="15" thickBot="1">
      <c r="A65" s="694" t="s">
        <v>2780</v>
      </c>
      <c r="B65" s="263" t="e">
        <f t="shared" si="17"/>
        <v>#DIV/0!</v>
      </c>
      <c r="C65" s="201">
        <f t="shared" si="16"/>
        <v>0.2</v>
      </c>
      <c r="D65" s="1168">
        <v>0.25</v>
      </c>
      <c r="E65" s="262">
        <f>'数据-汇总表'!E15</f>
        <v>0</v>
      </c>
      <c r="F65" s="1107" t="e">
        <f t="shared" si="15"/>
        <v>#DIV/0!</v>
      </c>
      <c r="G65" s="2713" t="s">
        <v>2774</v>
      </c>
      <c r="H65" s="1118" t="str">
        <f>项目基本情况!C37</f>
        <v>三级</v>
      </c>
      <c r="I65" s="1114">
        <f>SUMIF(修正!A45:A56,H65,修正!H45:H56)</f>
        <v>0.2</v>
      </c>
      <c r="J65" s="1117"/>
      <c r="K65" s="1148"/>
      <c r="L65" s="945"/>
      <c r="M65" s="945"/>
      <c r="N65" s="945"/>
      <c r="O65" s="945"/>
    </row>
    <row r="66" spans="1:17" s="693" customFormat="1" ht="13.5" thickBot="1">
      <c r="A66" s="696" t="s">
        <v>2781</v>
      </c>
      <c r="B66" s="697" t="s">
        <v>28</v>
      </c>
      <c r="C66" s="697" t="s">
        <v>29</v>
      </c>
      <c r="D66" s="697" t="s">
        <v>1029</v>
      </c>
      <c r="E66" s="697">
        <f>IF(B46="楼面地价",SUM(E56:E65),'数据-汇总表'!D3)</f>
        <v>66448.330000000016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2674</v>
      </c>
      <c r="B69" s="760"/>
      <c r="C69" s="765"/>
      <c r="D69" s="765"/>
      <c r="E69" s="765"/>
      <c r="F69" s="766"/>
      <c r="G69" s="766"/>
      <c r="H69" s="765"/>
      <c r="I69" s="765"/>
      <c r="J69" s="1163"/>
      <c r="K69" s="1164"/>
      <c r="L69" s="1165"/>
      <c r="M69" s="1163"/>
      <c r="N69" s="1163"/>
      <c r="O69" s="1163"/>
      <c r="P69" s="504"/>
      <c r="Q69" s="505"/>
    </row>
    <row r="70" spans="1:17" s="509" customFormat="1" ht="15">
      <c r="A70" s="2714" t="s">
        <v>2782</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5" t="s">
        <v>2783</v>
      </c>
      <c r="B71" s="333" t="str">
        <f>"北京市平均增长率"&amp;TEXT(SUMIF('基准地价修正（地上2层）'!N21:N25,A71,'基准地价修正（地上2层）'!P21:P25),"0.00%")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2585</v>
      </c>
      <c r="B72" s="517"/>
      <c r="C72" s="518"/>
      <c r="D72" s="519"/>
      <c r="E72" s="519"/>
      <c r="F72" s="519"/>
      <c r="G72" s="519"/>
      <c r="H72" s="519"/>
      <c r="I72" s="519"/>
      <c r="J72" s="519"/>
      <c r="K72" s="519"/>
      <c r="L72" s="519"/>
      <c r="M72" s="520"/>
      <c r="N72" s="519"/>
      <c r="O72" s="1166"/>
      <c r="P72" s="505"/>
      <c r="Q72" s="505"/>
    </row>
    <row r="73" spans="1:17" s="117" customFormat="1" ht="15">
      <c r="A73" s="522" t="s">
        <v>2550</v>
      </c>
      <c r="B73" s="511"/>
      <c r="C73" s="523" t="s">
        <v>2652</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2588</v>
      </c>
      <c r="B75" s="529" t="s">
        <v>2554</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2557</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2691</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2750</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2792</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2793</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2794</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2795</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29"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414" t="s">
        <v>2797</v>
      </c>
      <c r="D6" s="3415"/>
      <c r="E6" s="3416" t="s">
        <v>2797</v>
      </c>
      <c r="F6" s="3417"/>
      <c r="G6" s="3414" t="s">
        <v>2797</v>
      </c>
      <c r="H6" s="3415"/>
      <c r="I6" s="3414" t="s">
        <v>2797</v>
      </c>
      <c r="J6" s="3415"/>
      <c r="K6" s="611"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355" t="s">
        <v>2549</v>
      </c>
      <c r="Q7" s="3356"/>
      <c r="R7" s="771" t="s">
        <v>17</v>
      </c>
      <c r="S7" s="772">
        <f t="shared" ref="S7:S15" si="0">F7</f>
        <v>0</v>
      </c>
      <c r="T7" s="771" t="s">
        <v>17</v>
      </c>
      <c r="U7" s="772">
        <f t="shared" ref="U7:U15" si="1">H7</f>
        <v>0</v>
      </c>
      <c r="V7" s="771" t="s">
        <v>17</v>
      </c>
      <c r="W7" s="772">
        <f t="shared" ref="W7:W15" si="2">J7</f>
        <v>0</v>
      </c>
      <c r="X7" s="773"/>
      <c r="Y7" s="3355" t="s">
        <v>2549</v>
      </c>
      <c r="Z7" s="3354"/>
      <c r="AA7" s="774" t="e">
        <f>D7/F7</f>
        <v>#DIV/0!</v>
      </c>
      <c r="AB7" s="774" t="e">
        <f>D7/H7</f>
        <v>#DIV/0!</v>
      </c>
      <c r="AC7" s="774"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40" si="3">D8/F8</f>
        <v>#DIV/0!</v>
      </c>
      <c r="AB8" s="774" t="e">
        <f t="shared" ref="AB8:AB40" si="4">D8/H8</f>
        <v>#DIV/0!</v>
      </c>
      <c r="AC8" s="774" t="e">
        <f t="shared" ref="AC8:AC40" si="5">D8/J8</f>
        <v>#DIV/0!</v>
      </c>
    </row>
    <row r="9" spans="1:29" s="117" customFormat="1">
      <c r="A9" s="416" t="s">
        <v>2553</v>
      </c>
      <c r="B9" s="71" t="s">
        <v>2554</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314"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29" s="428" customFormat="1" ht="27">
      <c r="A10" s="422"/>
      <c r="B10" s="423" t="s">
        <v>2557</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314"/>
      <c r="Q10" s="1800" t="str">
        <f t="shared" si="6"/>
        <v>土地使用年限（年）</v>
      </c>
      <c r="R10" s="771" t="s">
        <v>17</v>
      </c>
      <c r="S10" s="772">
        <f t="shared" si="0"/>
        <v>111</v>
      </c>
      <c r="T10" s="771" t="s">
        <v>17</v>
      </c>
      <c r="U10" s="772">
        <f t="shared" si="1"/>
        <v>111</v>
      </c>
      <c r="V10" s="771" t="s">
        <v>17</v>
      </c>
      <c r="W10" s="772">
        <f t="shared" si="2"/>
        <v>111</v>
      </c>
      <c r="X10" s="773"/>
      <c r="Y10" s="3148"/>
      <c r="Z10" s="55" t="str">
        <f t="shared" si="7"/>
        <v>土地使用年限（年）</v>
      </c>
      <c r="AA10" s="774">
        <f t="shared" si="3"/>
        <v>0.90090090090090091</v>
      </c>
      <c r="AB10" s="774">
        <f t="shared" si="4"/>
        <v>0.90090090090090091</v>
      </c>
      <c r="AC10" s="774">
        <f t="shared" si="5"/>
        <v>0.90090090090090091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314"/>
      <c r="Q11" s="1800" t="str">
        <f t="shared" si="6"/>
        <v>容积率</v>
      </c>
      <c r="R11" s="771" t="s">
        <v>17</v>
      </c>
      <c r="S11" s="772" t="e">
        <f t="shared" si="0"/>
        <v>#N/A</v>
      </c>
      <c r="T11" s="771" t="s">
        <v>17</v>
      </c>
      <c r="U11" s="772" t="e">
        <f t="shared" si="1"/>
        <v>#N/A</v>
      </c>
      <c r="V11" s="771" t="s">
        <v>17</v>
      </c>
      <c r="W11" s="772" t="e">
        <f t="shared" si="2"/>
        <v>#N/A</v>
      </c>
      <c r="X11" s="773"/>
      <c r="Y11" s="3148"/>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314"/>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314"/>
      <c r="Q14" s="1800">
        <f t="shared" si="6"/>
        <v>111</v>
      </c>
      <c r="R14" s="771" t="s">
        <v>17</v>
      </c>
      <c r="S14" s="772">
        <f t="shared" si="0"/>
        <v>100</v>
      </c>
      <c r="T14" s="771" t="s">
        <v>17</v>
      </c>
      <c r="U14" s="772">
        <f t="shared" si="1"/>
        <v>100</v>
      </c>
      <c r="V14" s="771" t="s">
        <v>17</v>
      </c>
      <c r="W14" s="772">
        <f t="shared" si="2"/>
        <v>100</v>
      </c>
      <c r="X14" s="773"/>
      <c r="Y14" s="3148"/>
      <c r="Z14" s="55">
        <f t="shared" si="7"/>
        <v>111</v>
      </c>
      <c r="AA14" s="774">
        <f t="shared" si="3"/>
        <v>1</v>
      </c>
      <c r="AB14" s="774">
        <f t="shared" si="4"/>
        <v>1</v>
      </c>
      <c r="AC14" s="774">
        <f t="shared" si="5"/>
        <v>1</v>
      </c>
    </row>
    <row r="15" spans="1:29" ht="57">
      <c r="A15" s="441" t="s">
        <v>2559</v>
      </c>
      <c r="B15" s="630" t="s">
        <v>2798</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321" t="s">
        <v>2560</v>
      </c>
      <c r="Q15" s="1815" t="str">
        <f t="shared" si="6"/>
        <v>产业集聚程度</v>
      </c>
      <c r="R15" s="775" t="s">
        <v>17</v>
      </c>
      <c r="S15" s="776">
        <f t="shared" si="0"/>
        <v>100</v>
      </c>
      <c r="T15" s="775" t="s">
        <v>17</v>
      </c>
      <c r="U15" s="776">
        <f t="shared" si="1"/>
        <v>100</v>
      </c>
      <c r="V15" s="775" t="s">
        <v>17</v>
      </c>
      <c r="W15" s="776">
        <f t="shared" si="2"/>
        <v>100</v>
      </c>
      <c r="X15" s="1818"/>
      <c r="Y15" s="3321" t="s">
        <v>2560</v>
      </c>
      <c r="Z15" s="1819" t="str">
        <f t="shared" si="7"/>
        <v>产业集聚程度</v>
      </c>
      <c r="AA15" s="1816">
        <f t="shared" si="3"/>
        <v>1</v>
      </c>
      <c r="AB15" s="1816">
        <f t="shared" si="4"/>
        <v>1</v>
      </c>
      <c r="AC15" s="1816">
        <f t="shared" si="5"/>
        <v>1</v>
      </c>
    </row>
    <row r="16" spans="1:29" ht="15">
      <c r="A16" s="429"/>
      <c r="B16" s="631"/>
      <c r="C16" s="448"/>
      <c r="D16" s="449"/>
      <c r="E16" s="2614"/>
      <c r="F16" s="449"/>
      <c r="G16" s="2614"/>
      <c r="H16" s="451"/>
      <c r="I16" s="2614"/>
      <c r="J16" s="449"/>
      <c r="K16" s="673"/>
      <c r="L16" s="1144"/>
      <c r="M16" s="1135"/>
      <c r="N16" s="1135"/>
      <c r="O16" s="1143"/>
      <c r="P16" s="3322"/>
      <c r="Q16" s="1815"/>
      <c r="R16" s="775"/>
      <c r="S16" s="776"/>
      <c r="T16" s="775"/>
      <c r="U16" s="776"/>
      <c r="V16" s="775"/>
      <c r="W16" s="776"/>
      <c r="X16" s="1818"/>
      <c r="Y16" s="3322"/>
      <c r="Z16" s="1819"/>
      <c r="AA16" s="1816">
        <v>1</v>
      </c>
      <c r="AB16" s="1816">
        <v>1</v>
      </c>
      <c r="AC16" s="1816">
        <v>1</v>
      </c>
    </row>
    <row r="17" spans="1:29" ht="85.5">
      <c r="A17" s="429"/>
      <c r="B17" s="632" t="s">
        <v>2709</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322"/>
      <c r="Q17" s="1815" t="str">
        <f>B17</f>
        <v>交通便捷度</v>
      </c>
      <c r="R17" s="775" t="s">
        <v>17</v>
      </c>
      <c r="S17" s="776">
        <f>F17</f>
        <v>100</v>
      </c>
      <c r="T17" s="775" t="s">
        <v>17</v>
      </c>
      <c r="U17" s="776">
        <f>H17</f>
        <v>100</v>
      </c>
      <c r="V17" s="775" t="s">
        <v>17</v>
      </c>
      <c r="W17" s="776">
        <f>J17</f>
        <v>100</v>
      </c>
      <c r="X17" s="1818"/>
      <c r="Y17" s="3322"/>
      <c r="Z17" s="1819" t="str">
        <f>Q17</f>
        <v>交通便捷度</v>
      </c>
      <c r="AA17" s="1816">
        <f t="shared" si="3"/>
        <v>1</v>
      </c>
      <c r="AB17" s="1816">
        <f t="shared" si="4"/>
        <v>1</v>
      </c>
      <c r="AC17" s="1816">
        <f t="shared" si="5"/>
        <v>1</v>
      </c>
    </row>
    <row r="18" spans="1:29" ht="15">
      <c r="A18" s="429"/>
      <c r="B18" s="633"/>
      <c r="C18" s="448"/>
      <c r="D18" s="449"/>
      <c r="E18" s="2608"/>
      <c r="F18" s="449"/>
      <c r="G18" s="2608"/>
      <c r="H18" s="449"/>
      <c r="I18" s="2607"/>
      <c r="J18" s="449"/>
      <c r="K18" s="673"/>
      <c r="L18" s="1144"/>
      <c r="M18" s="1135"/>
      <c r="N18" s="1135"/>
      <c r="O18" s="1143"/>
      <c r="P18" s="3322"/>
      <c r="Q18" s="1815"/>
      <c r="R18" s="775"/>
      <c r="S18" s="776"/>
      <c r="T18" s="775"/>
      <c r="U18" s="776"/>
      <c r="V18" s="775"/>
      <c r="W18" s="776"/>
      <c r="X18" s="1818"/>
      <c r="Y18" s="3322"/>
      <c r="Z18" s="1819"/>
      <c r="AA18" s="1816">
        <v>1</v>
      </c>
      <c r="AB18" s="1816">
        <v>1</v>
      </c>
      <c r="AC18" s="1816">
        <v>1</v>
      </c>
    </row>
    <row r="19" spans="1:29" ht="15">
      <c r="A19" s="429"/>
      <c r="B19" s="632" t="s">
        <v>2748</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322"/>
      <c r="Q19" s="1815" t="str">
        <f t="shared" ref="Q19:Q33" si="8">B19</f>
        <v>区域土地利用方向</v>
      </c>
      <c r="R19" s="775" t="s">
        <v>17</v>
      </c>
      <c r="S19" s="776">
        <f>F19</f>
        <v>100</v>
      </c>
      <c r="T19" s="775" t="s">
        <v>17</v>
      </c>
      <c r="U19" s="776">
        <f>H19</f>
        <v>100</v>
      </c>
      <c r="V19" s="775" t="s">
        <v>17</v>
      </c>
      <c r="W19" s="776">
        <f>J19</f>
        <v>100</v>
      </c>
      <c r="X19" s="1818"/>
      <c r="Y19" s="3322"/>
      <c r="Z19" s="1819" t="str">
        <f>Q19</f>
        <v>区域土地利用方向</v>
      </c>
      <c r="AA19" s="1816">
        <f t="shared" si="3"/>
        <v>1</v>
      </c>
      <c r="AB19" s="1816">
        <f t="shared" si="4"/>
        <v>1</v>
      </c>
      <c r="AC19" s="1816">
        <f t="shared" si="5"/>
        <v>1</v>
      </c>
    </row>
    <row r="20" spans="1:29" ht="15">
      <c r="A20" s="405"/>
      <c r="B20" s="633"/>
      <c r="C20" s="448"/>
      <c r="D20" s="449"/>
      <c r="E20" s="2608"/>
      <c r="F20" s="449"/>
      <c r="G20" s="2608"/>
      <c r="H20" s="449"/>
      <c r="I20" s="2608"/>
      <c r="J20" s="449"/>
      <c r="K20" s="813"/>
      <c r="L20" s="1144"/>
      <c r="M20" s="1135"/>
      <c r="N20" s="1135"/>
      <c r="O20" s="1143"/>
      <c r="P20" s="3322"/>
      <c r="Q20" s="1815"/>
      <c r="R20" s="775"/>
      <c r="S20" s="776"/>
      <c r="T20" s="775"/>
      <c r="U20" s="776"/>
      <c r="V20" s="775"/>
      <c r="W20" s="776"/>
      <c r="X20" s="1818"/>
      <c r="Y20" s="3322"/>
      <c r="Z20" s="1819"/>
      <c r="AA20" s="1816"/>
      <c r="AB20" s="1816"/>
      <c r="AC20" s="1816"/>
    </row>
    <row r="21" spans="1:29" ht="71.25">
      <c r="A21" s="405"/>
      <c r="B21" s="632" t="s">
        <v>2799</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322"/>
      <c r="Q21" s="1815" t="str">
        <f t="shared" si="8"/>
        <v>环境状况</v>
      </c>
      <c r="R21" s="775" t="s">
        <v>17</v>
      </c>
      <c r="S21" s="776">
        <f>F21</f>
        <v>100</v>
      </c>
      <c r="T21" s="775" t="s">
        <v>17</v>
      </c>
      <c r="U21" s="776">
        <f>H21</f>
        <v>100</v>
      </c>
      <c r="V21" s="775" t="s">
        <v>17</v>
      </c>
      <c r="W21" s="776">
        <f>J21</f>
        <v>100</v>
      </c>
      <c r="X21" s="1818"/>
      <c r="Y21" s="3322"/>
      <c r="Z21" s="1819" t="str">
        <f>Q21</f>
        <v>环境状况</v>
      </c>
      <c r="AA21" s="1816">
        <f t="shared" si="3"/>
        <v>1</v>
      </c>
      <c r="AB21" s="1816">
        <f t="shared" si="4"/>
        <v>1</v>
      </c>
      <c r="AC21" s="1816">
        <f t="shared" si="5"/>
        <v>1</v>
      </c>
    </row>
    <row r="22" spans="1:29" ht="15">
      <c r="A22" s="405"/>
      <c r="B22" s="633"/>
      <c r="C22" s="448"/>
      <c r="D22" s="449"/>
      <c r="E22" s="2614"/>
      <c r="F22" s="449"/>
      <c r="G22" s="2614"/>
      <c r="H22" s="449"/>
      <c r="I22" s="448"/>
      <c r="J22" s="449"/>
      <c r="K22" s="673"/>
      <c r="L22" s="1144"/>
      <c r="M22" s="1135"/>
      <c r="N22" s="1135"/>
      <c r="O22" s="1143"/>
      <c r="P22" s="3322"/>
      <c r="Q22" s="1815"/>
      <c r="R22" s="775"/>
      <c r="S22" s="776"/>
      <c r="T22" s="775"/>
      <c r="U22" s="776"/>
      <c r="V22" s="775"/>
      <c r="W22" s="776"/>
      <c r="X22" s="1818"/>
      <c r="Y22" s="3322"/>
      <c r="Z22" s="1819"/>
      <c r="AA22" s="1816">
        <v>1</v>
      </c>
      <c r="AB22" s="1816">
        <v>1</v>
      </c>
      <c r="AC22" s="1816">
        <v>1</v>
      </c>
    </row>
    <row r="23" spans="1:29" s="117" customFormat="1" ht="42.75">
      <c r="A23" s="650"/>
      <c r="B23" s="634" t="s">
        <v>2654</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322"/>
      <c r="Q23" s="1800" t="str">
        <f t="shared" si="8"/>
        <v>公共配套设施</v>
      </c>
      <c r="R23" s="771" t="s">
        <v>17</v>
      </c>
      <c r="S23" s="772">
        <f>F23</f>
        <v>100</v>
      </c>
      <c r="T23" s="771" t="s">
        <v>17</v>
      </c>
      <c r="U23" s="772">
        <f>H23</f>
        <v>100</v>
      </c>
      <c r="V23" s="771" t="s">
        <v>17</v>
      </c>
      <c r="W23" s="772">
        <f>J23</f>
        <v>100</v>
      </c>
      <c r="X23" s="773"/>
      <c r="Y23" s="3322"/>
      <c r="Z23" s="55" t="str">
        <f>Q23</f>
        <v>公共配套设施</v>
      </c>
      <c r="AA23" s="1816">
        <f>D23/F23</f>
        <v>1</v>
      </c>
      <c r="AB23" s="1816">
        <f>D23/H23</f>
        <v>1</v>
      </c>
      <c r="AC23" s="1816">
        <f>D23/J23</f>
        <v>1</v>
      </c>
    </row>
    <row r="24" spans="1:29" s="117" customFormat="1" ht="15">
      <c r="A24" s="650"/>
      <c r="B24" s="633"/>
      <c r="C24" s="2703"/>
      <c r="D24" s="449"/>
      <c r="E24" s="2614"/>
      <c r="F24" s="449"/>
      <c r="G24" s="2614"/>
      <c r="H24" s="449"/>
      <c r="I24" s="448"/>
      <c r="J24" s="449"/>
      <c r="K24" s="673"/>
      <c r="L24" s="1136"/>
      <c r="M24" s="1137"/>
      <c r="N24" s="1137"/>
      <c r="O24" s="1138"/>
      <c r="P24" s="3322"/>
      <c r="Q24" s="1800"/>
      <c r="R24" s="771"/>
      <c r="S24" s="772"/>
      <c r="T24" s="771"/>
      <c r="U24" s="772"/>
      <c r="V24" s="771"/>
      <c r="W24" s="772"/>
      <c r="X24" s="773"/>
      <c r="Y24" s="3322"/>
      <c r="Z24" s="55"/>
      <c r="AA24" s="774">
        <v>1</v>
      </c>
      <c r="AB24" s="774">
        <v>1</v>
      </c>
      <c r="AC24" s="774">
        <v>1</v>
      </c>
    </row>
    <row r="25" spans="1:29" s="117" customFormat="1" ht="28.5">
      <c r="A25" s="650"/>
      <c r="B25" s="634" t="s">
        <v>2655</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322"/>
      <c r="Q25" s="1800" t="str">
        <f t="shared" ref="Q25" si="9">B25</f>
        <v>基础设施水平</v>
      </c>
      <c r="R25" s="771" t="s">
        <v>17</v>
      </c>
      <c r="S25" s="772">
        <f>F25</f>
        <v>100</v>
      </c>
      <c r="T25" s="771" t="s">
        <v>17</v>
      </c>
      <c r="U25" s="772">
        <f>H25</f>
        <v>100</v>
      </c>
      <c r="V25" s="771" t="s">
        <v>17</v>
      </c>
      <c r="W25" s="772">
        <f>J25</f>
        <v>100</v>
      </c>
      <c r="X25" s="773"/>
      <c r="Y25" s="3322"/>
      <c r="Z25" s="55" t="str">
        <f>Q25</f>
        <v>基础设施水平</v>
      </c>
      <c r="AA25" s="1816">
        <f>D25/F25</f>
        <v>1</v>
      </c>
      <c r="AB25" s="1816">
        <f>D25/H25</f>
        <v>1</v>
      </c>
      <c r="AC25" s="1816">
        <f>D25/J25</f>
        <v>1</v>
      </c>
    </row>
    <row r="26" spans="1:29" s="117" customFormat="1" ht="15">
      <c r="A26" s="650"/>
      <c r="B26" s="633"/>
      <c r="C26" s="2703"/>
      <c r="D26" s="449"/>
      <c r="E26" s="2704"/>
      <c r="F26" s="449"/>
      <c r="G26" s="2704"/>
      <c r="H26" s="449"/>
      <c r="I26" s="2704"/>
      <c r="J26" s="449"/>
      <c r="K26" s="673"/>
      <c r="L26" s="1136"/>
      <c r="M26" s="1137"/>
      <c r="N26" s="1137"/>
      <c r="O26" s="1138"/>
      <c r="P26" s="3322"/>
      <c r="Q26" s="1800"/>
      <c r="R26" s="771"/>
      <c r="S26" s="772"/>
      <c r="T26" s="771"/>
      <c r="U26" s="772"/>
      <c r="V26" s="771"/>
      <c r="W26" s="772"/>
      <c r="X26" s="773"/>
      <c r="Y26" s="3322"/>
      <c r="Z26" s="55"/>
      <c r="AA26" s="774">
        <v>1</v>
      </c>
      <c r="AB26" s="774">
        <v>1</v>
      </c>
      <c r="AC26" s="774">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322"/>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322"/>
      <c r="Z27" s="1819" t="str">
        <f t="shared" ref="Z27:Z40" si="13">Q27</f>
        <v>临街状况</v>
      </c>
      <c r="AA27" s="1816">
        <f t="shared" si="3"/>
        <v>1</v>
      </c>
      <c r="AB27" s="1816">
        <f t="shared" si="4"/>
        <v>1</v>
      </c>
      <c r="AC27" s="1816">
        <f t="shared" si="5"/>
        <v>1</v>
      </c>
    </row>
    <row r="28" spans="1:29" ht="27">
      <c r="A28" s="429"/>
      <c r="B28" s="634" t="s">
        <v>2691</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322"/>
      <c r="Q28" s="1815" t="str">
        <f t="shared" si="8"/>
        <v>毗邻道路的类型与等级</v>
      </c>
      <c r="R28" s="775" t="s">
        <v>17</v>
      </c>
      <c r="S28" s="776">
        <f t="shared" si="10"/>
        <v>100</v>
      </c>
      <c r="T28" s="775" t="s">
        <v>17</v>
      </c>
      <c r="U28" s="776">
        <f t="shared" si="11"/>
        <v>100</v>
      </c>
      <c r="V28" s="775" t="s">
        <v>17</v>
      </c>
      <c r="W28" s="776">
        <f t="shared" si="12"/>
        <v>100</v>
      </c>
      <c r="X28" s="1818"/>
      <c r="Y28" s="3322"/>
      <c r="Z28" s="1819" t="str">
        <f t="shared" si="13"/>
        <v>毗邻道路的类型与等级</v>
      </c>
      <c r="AA28" s="1816">
        <f t="shared" si="3"/>
        <v>1</v>
      </c>
      <c r="AB28" s="1816">
        <f t="shared" si="4"/>
        <v>1</v>
      </c>
      <c r="AC28" s="1816">
        <f t="shared" si="5"/>
        <v>1</v>
      </c>
    </row>
    <row r="29" spans="1:29" ht="15">
      <c r="A29" s="429"/>
      <c r="B29" s="633"/>
      <c r="C29" s="448"/>
      <c r="D29" s="449"/>
      <c r="E29" s="2614"/>
      <c r="F29" s="449"/>
      <c r="G29" s="2614"/>
      <c r="H29" s="449"/>
      <c r="I29" s="2614"/>
      <c r="J29" s="449"/>
      <c r="K29" s="614"/>
      <c r="L29" s="1144"/>
      <c r="M29" s="1135"/>
      <c r="N29" s="1135"/>
      <c r="O29" s="1143"/>
      <c r="P29" s="3322"/>
      <c r="Q29" s="1815"/>
      <c r="R29" s="775"/>
      <c r="S29" s="776"/>
      <c r="T29" s="775"/>
      <c r="U29" s="776"/>
      <c r="V29" s="775"/>
      <c r="W29" s="776"/>
      <c r="X29" s="1818"/>
      <c r="Y29" s="3322"/>
      <c r="Z29" s="1819"/>
      <c r="AA29" s="1816">
        <v>1</v>
      </c>
      <c r="AB29" s="1816">
        <v>1</v>
      </c>
      <c r="AC29" s="1816">
        <v>1</v>
      </c>
    </row>
    <row r="30" spans="1:29" ht="15">
      <c r="A30" s="429"/>
      <c r="B30" s="655" t="s">
        <v>2750</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322"/>
      <c r="Q30" s="1815" t="str">
        <f t="shared" si="8"/>
        <v>土地级别</v>
      </c>
      <c r="R30" s="775" t="s">
        <v>17</v>
      </c>
      <c r="S30" s="776">
        <f t="shared" si="10"/>
        <v>100</v>
      </c>
      <c r="T30" s="775" t="s">
        <v>17</v>
      </c>
      <c r="U30" s="776">
        <f t="shared" si="11"/>
        <v>100</v>
      </c>
      <c r="V30" s="775" t="s">
        <v>17</v>
      </c>
      <c r="W30" s="776">
        <f t="shared" si="12"/>
        <v>100</v>
      </c>
      <c r="X30" s="1818"/>
      <c r="Y30" s="3322"/>
      <c r="Z30" s="1819" t="str">
        <f t="shared" si="13"/>
        <v>土地级别</v>
      </c>
      <c r="AA30" s="1816">
        <f t="shared" si="3"/>
        <v>1</v>
      </c>
      <c r="AB30" s="1816">
        <f t="shared" si="4"/>
        <v>1</v>
      </c>
      <c r="AC30" s="1816">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322"/>
      <c r="Q31" s="1815">
        <f t="shared" si="8"/>
        <v>111</v>
      </c>
      <c r="R31" s="775" t="s">
        <v>17</v>
      </c>
      <c r="S31" s="776">
        <f t="shared" si="10"/>
        <v>100</v>
      </c>
      <c r="T31" s="775" t="s">
        <v>17</v>
      </c>
      <c r="U31" s="776">
        <f t="shared" si="11"/>
        <v>100</v>
      </c>
      <c r="V31" s="775" t="s">
        <v>17</v>
      </c>
      <c r="W31" s="776">
        <f t="shared" si="12"/>
        <v>100</v>
      </c>
      <c r="X31" s="1818"/>
      <c r="Y31" s="3322"/>
      <c r="Z31" s="1819">
        <f t="shared" si="13"/>
        <v>111</v>
      </c>
      <c r="AA31" s="1816">
        <f t="shared" si="3"/>
        <v>1</v>
      </c>
      <c r="AB31" s="1816">
        <f t="shared" si="4"/>
        <v>1</v>
      </c>
      <c r="AC31" s="1816">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409" t="s">
        <v>2565</v>
      </c>
      <c r="Q32" s="1815">
        <f t="shared" si="8"/>
        <v>111</v>
      </c>
      <c r="R32" s="775" t="s">
        <v>17</v>
      </c>
      <c r="S32" s="776">
        <f t="shared" si="10"/>
        <v>100</v>
      </c>
      <c r="T32" s="775" t="s">
        <v>17</v>
      </c>
      <c r="U32" s="776">
        <f t="shared" si="11"/>
        <v>100</v>
      </c>
      <c r="V32" s="775" t="s">
        <v>17</v>
      </c>
      <c r="W32" s="776">
        <f t="shared" si="12"/>
        <v>100</v>
      </c>
      <c r="X32" s="1818"/>
      <c r="Y32" s="3326" t="s">
        <v>2565</v>
      </c>
      <c r="Z32" s="1819">
        <f t="shared" si="13"/>
        <v>111</v>
      </c>
      <c r="AA32" s="1816">
        <f t="shared" si="3"/>
        <v>1</v>
      </c>
      <c r="AB32" s="1816">
        <f t="shared" si="4"/>
        <v>1</v>
      </c>
      <c r="AC32" s="1816">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326"/>
      <c r="Q33" s="1815">
        <f t="shared" si="8"/>
        <v>111</v>
      </c>
      <c r="R33" s="778" t="s">
        <v>17</v>
      </c>
      <c r="S33" s="779">
        <f t="shared" si="10"/>
        <v>100</v>
      </c>
      <c r="T33" s="778" t="s">
        <v>17</v>
      </c>
      <c r="U33" s="779">
        <f t="shared" si="11"/>
        <v>100</v>
      </c>
      <c r="V33" s="778" t="s">
        <v>17</v>
      </c>
      <c r="W33" s="779">
        <f t="shared" si="12"/>
        <v>100</v>
      </c>
      <c r="X33" s="780"/>
      <c r="Y33" s="3326"/>
      <c r="Z33" s="781">
        <f t="shared" si="13"/>
        <v>111</v>
      </c>
      <c r="AA33" s="1816">
        <f t="shared" si="3"/>
        <v>1</v>
      </c>
      <c r="AB33" s="1816">
        <f t="shared" si="4"/>
        <v>1</v>
      </c>
      <c r="AC33" s="1816">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326"/>
      <c r="Q34" s="1815" t="str">
        <f>B34</f>
        <v>宗地面积</v>
      </c>
      <c r="R34" s="775" t="s">
        <v>17</v>
      </c>
      <c r="S34" s="776" t="e">
        <f t="shared" si="10"/>
        <v>#N/A</v>
      </c>
      <c r="T34" s="775" t="s">
        <v>17</v>
      </c>
      <c r="U34" s="776" t="e">
        <f t="shared" si="11"/>
        <v>#N/A</v>
      </c>
      <c r="V34" s="775" t="s">
        <v>17</v>
      </c>
      <c r="W34" s="776" t="e">
        <f t="shared" si="12"/>
        <v>#N/A</v>
      </c>
      <c r="X34" s="1818"/>
      <c r="Y34" s="3326"/>
      <c r="Z34" s="1819" t="str">
        <f t="shared" si="13"/>
        <v>宗地面积</v>
      </c>
      <c r="AA34" s="1816" t="e">
        <f t="shared" si="3"/>
        <v>#N/A</v>
      </c>
      <c r="AB34" s="1816" t="e">
        <f t="shared" si="4"/>
        <v>#N/A</v>
      </c>
      <c r="AC34" s="1816" t="e">
        <f t="shared" si="5"/>
        <v>#N/A</v>
      </c>
    </row>
    <row r="35" spans="1:29" ht="15">
      <c r="A35" s="473"/>
      <c r="B35" s="423" t="s">
        <v>2752</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326"/>
      <c r="Q35" s="1815" t="str">
        <f t="shared" ref="Q35:Q40" si="14">B35</f>
        <v>宗地形状</v>
      </c>
      <c r="R35" s="775" t="s">
        <v>17</v>
      </c>
      <c r="S35" s="776">
        <f t="shared" si="10"/>
        <v>100</v>
      </c>
      <c r="T35" s="775" t="s">
        <v>17</v>
      </c>
      <c r="U35" s="776">
        <f t="shared" si="11"/>
        <v>100</v>
      </c>
      <c r="V35" s="775" t="s">
        <v>17</v>
      </c>
      <c r="W35" s="776">
        <f t="shared" si="12"/>
        <v>100</v>
      </c>
      <c r="X35" s="1818"/>
      <c r="Y35" s="3326"/>
      <c r="Z35" s="1819" t="str">
        <f t="shared" si="13"/>
        <v>宗地形状</v>
      </c>
      <c r="AA35" s="1816">
        <f t="shared" si="3"/>
        <v>1</v>
      </c>
      <c r="AB35" s="1816">
        <f t="shared" si="4"/>
        <v>1</v>
      </c>
      <c r="AC35" s="1816">
        <f t="shared" si="5"/>
        <v>1</v>
      </c>
    </row>
    <row r="36" spans="1:29" s="117" customFormat="1" ht="15">
      <c r="A36" s="474"/>
      <c r="B36" s="423" t="s">
        <v>2754</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326"/>
      <c r="Q36" s="1815" t="str">
        <f t="shared" si="14"/>
        <v>宗地开发程度</v>
      </c>
      <c r="R36" s="771" t="s">
        <v>17</v>
      </c>
      <c r="S36" s="772">
        <f t="shared" si="10"/>
        <v>100</v>
      </c>
      <c r="T36" s="771" t="s">
        <v>17</v>
      </c>
      <c r="U36" s="772">
        <f t="shared" si="11"/>
        <v>100</v>
      </c>
      <c r="V36" s="771" t="s">
        <v>17</v>
      </c>
      <c r="W36" s="772">
        <f t="shared" si="12"/>
        <v>100</v>
      </c>
      <c r="X36" s="773"/>
      <c r="Y36" s="3326"/>
      <c r="Z36" s="55" t="str">
        <f t="shared" si="13"/>
        <v>宗地开发程度</v>
      </c>
      <c r="AA36" s="774">
        <f t="shared" si="3"/>
        <v>1</v>
      </c>
      <c r="AB36" s="774">
        <f t="shared" si="4"/>
        <v>1</v>
      </c>
      <c r="AC36" s="774">
        <f t="shared" si="5"/>
        <v>1</v>
      </c>
    </row>
    <row r="37" spans="1:29" ht="15">
      <c r="A37" s="473"/>
      <c r="B37" s="423" t="s">
        <v>2755</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326" t="s">
        <v>2565</v>
      </c>
      <c r="Q37" s="1815" t="str">
        <f t="shared" si="14"/>
        <v>工程地质条件</v>
      </c>
      <c r="R37" s="775" t="s">
        <v>17</v>
      </c>
      <c r="S37" s="776">
        <f t="shared" si="10"/>
        <v>100</v>
      </c>
      <c r="T37" s="775" t="s">
        <v>17</v>
      </c>
      <c r="U37" s="776">
        <f t="shared" si="11"/>
        <v>100</v>
      </c>
      <c r="V37" s="775" t="s">
        <v>17</v>
      </c>
      <c r="W37" s="776">
        <f t="shared" si="12"/>
        <v>100</v>
      </c>
      <c r="X37" s="1818"/>
      <c r="Y37" s="3326" t="s">
        <v>2565</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326"/>
      <c r="Q38" s="1815">
        <f t="shared" si="14"/>
        <v>111</v>
      </c>
      <c r="R38" s="775" t="s">
        <v>17</v>
      </c>
      <c r="S38" s="776">
        <f t="shared" si="10"/>
        <v>100</v>
      </c>
      <c r="T38" s="775" t="s">
        <v>17</v>
      </c>
      <c r="U38" s="776">
        <f t="shared" si="11"/>
        <v>100</v>
      </c>
      <c r="V38" s="775" t="s">
        <v>17</v>
      </c>
      <c r="W38" s="776">
        <f t="shared" si="12"/>
        <v>100</v>
      </c>
      <c r="X38" s="1818"/>
      <c r="Y38" s="3326"/>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326"/>
      <c r="Q39" s="1815">
        <f t="shared" si="14"/>
        <v>111</v>
      </c>
      <c r="R39" s="775" t="s">
        <v>17</v>
      </c>
      <c r="S39" s="776">
        <f t="shared" si="10"/>
        <v>100</v>
      </c>
      <c r="T39" s="775" t="s">
        <v>17</v>
      </c>
      <c r="U39" s="776">
        <f t="shared" si="11"/>
        <v>100</v>
      </c>
      <c r="V39" s="775" t="s">
        <v>17</v>
      </c>
      <c r="W39" s="776">
        <f t="shared" si="12"/>
        <v>100</v>
      </c>
      <c r="X39" s="1818"/>
      <c r="Y39" s="3326"/>
      <c r="Z39" s="1819">
        <f t="shared" si="13"/>
        <v>111</v>
      </c>
      <c r="AA39" s="1816">
        <f t="shared" si="3"/>
        <v>1</v>
      </c>
      <c r="AB39" s="1816">
        <f t="shared" si="4"/>
        <v>1</v>
      </c>
      <c r="AC39" s="1816">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326"/>
      <c r="Q40" s="1815">
        <f t="shared" si="14"/>
        <v>111</v>
      </c>
      <c r="R40" s="778" t="s">
        <v>17</v>
      </c>
      <c r="S40" s="779">
        <f t="shared" si="10"/>
        <v>100</v>
      </c>
      <c r="T40" s="778" t="s">
        <v>17</v>
      </c>
      <c r="U40" s="779">
        <f t="shared" si="11"/>
        <v>100</v>
      </c>
      <c r="V40" s="778" t="s">
        <v>17</v>
      </c>
      <c r="W40" s="779">
        <f t="shared" si="12"/>
        <v>100</v>
      </c>
      <c r="X40" s="780"/>
      <c r="Y40" s="3326"/>
      <c r="Z40" s="781">
        <f t="shared" si="13"/>
        <v>111</v>
      </c>
      <c r="AA40" s="1816">
        <f t="shared" si="3"/>
        <v>1</v>
      </c>
      <c r="AB40" s="1816">
        <f t="shared" si="4"/>
        <v>1</v>
      </c>
      <c r="AC40" s="1816">
        <f t="shared" si="5"/>
        <v>1</v>
      </c>
    </row>
    <row r="41" spans="1:29" ht="15">
      <c r="A41" s="480" t="s">
        <v>2720</v>
      </c>
      <c r="B41" s="2707" t="s">
        <v>2800</v>
      </c>
      <c r="C41" s="683" t="s">
        <v>1</v>
      </c>
      <c r="D41" s="482"/>
      <c r="E41" s="483"/>
      <c r="F41" s="484"/>
      <c r="G41" s="485"/>
      <c r="H41" s="486"/>
      <c r="I41" s="483"/>
      <c r="J41" s="486"/>
      <c r="K41" s="784"/>
      <c r="L41" s="1147"/>
      <c r="M41" s="1135"/>
      <c r="N41" s="1135"/>
      <c r="O41" s="1148"/>
      <c r="P41" s="3314" t="str">
        <f>A41</f>
        <v>成交单价</v>
      </c>
      <c r="Q41" s="3314"/>
      <c r="R41" s="3348">
        <f>E41</f>
        <v>0</v>
      </c>
      <c r="S41" s="3348"/>
      <c r="T41" s="3348">
        <f>G41</f>
        <v>0</v>
      </c>
      <c r="U41" s="3348"/>
      <c r="V41" s="3348">
        <f>I41</f>
        <v>0</v>
      </c>
      <c r="W41" s="3348"/>
      <c r="X41" s="760"/>
      <c r="Y41" s="782"/>
      <c r="Z41" s="760"/>
      <c r="AA41" s="760"/>
      <c r="AB41" s="760"/>
      <c r="AC41" s="760"/>
    </row>
    <row r="42" spans="1:29" ht="15.75" thickBot="1">
      <c r="A42" s="487" t="s">
        <v>2669</v>
      </c>
      <c r="B42" s="684"/>
      <c r="C42" s="491" t="e">
        <f>R43</f>
        <v>#DIV/0!</v>
      </c>
      <c r="D42" s="490"/>
      <c r="E42" s="491" t="e">
        <f>R42</f>
        <v>#DIV/0!</v>
      </c>
      <c r="F42" s="492"/>
      <c r="G42" s="489" t="e">
        <f>T42</f>
        <v>#DIV/0!</v>
      </c>
      <c r="H42" s="490"/>
      <c r="I42" s="491" t="e">
        <f>V42</f>
        <v>#DIV/0!</v>
      </c>
      <c r="J42" s="490"/>
      <c r="K42" s="785"/>
      <c r="L42" s="1147"/>
      <c r="M42" s="1135"/>
      <c r="N42" s="1135"/>
      <c r="O42" s="1148"/>
      <c r="P42" s="3314" t="str">
        <f>A42</f>
        <v>比较价值（元/平方米）</v>
      </c>
      <c r="Q42" s="3314"/>
      <c r="R42" s="3410" t="e">
        <f>ROUND(PRODUCT(R41,AA7:AA40),0)</f>
        <v>#DIV/0!</v>
      </c>
      <c r="S42" s="3410"/>
      <c r="T42" s="3410" t="e">
        <f>ROUND(PRODUCT(T41,AB7:AB40),0)</f>
        <v>#DIV/0!</v>
      </c>
      <c r="U42" s="3410"/>
      <c r="V42" s="3410" t="e">
        <f>ROUND(PRODUCT(V41,AC7:AC40),0)</f>
        <v>#DIV/0!</v>
      </c>
      <c r="W42" s="3410"/>
      <c r="X42" s="760"/>
      <c r="Y42" s="760"/>
      <c r="Z42" s="760"/>
      <c r="AA42" s="760"/>
      <c r="AB42" s="760"/>
      <c r="AC42" s="760"/>
    </row>
    <row r="43" spans="1:29" ht="15.75" thickBot="1">
      <c r="A43" s="493" t="s">
        <v>2670</v>
      </c>
      <c r="B43" s="494"/>
      <c r="C43" s="495" t="e">
        <f>R43</f>
        <v>#DIV/0!</v>
      </c>
      <c r="D43" s="495"/>
      <c r="E43" s="495"/>
      <c r="F43" s="495"/>
      <c r="G43" s="495"/>
      <c r="H43" s="495"/>
      <c r="I43" s="495"/>
      <c r="J43" s="495"/>
      <c r="K43" s="786"/>
      <c r="L43" s="1147"/>
      <c r="M43" s="1135"/>
      <c r="N43" s="1135"/>
      <c r="O43" s="1148"/>
      <c r="P43" s="3377" t="str">
        <f>A43</f>
        <v>估价对象XX用房的比较价值（楼面单价，元/平方米）</v>
      </c>
      <c r="Q43" s="3378"/>
      <c r="R43" s="3411" t="e">
        <f>ROUND(AVERAGE(R42:V42),0)</f>
        <v>#DIV/0!</v>
      </c>
      <c r="S43" s="3411"/>
      <c r="T43" s="3411"/>
      <c r="U43" s="3411"/>
      <c r="V43" s="3411"/>
      <c r="W43" s="341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2758</v>
      </c>
      <c r="B50" s="686" t="s">
        <v>2759</v>
      </c>
      <c r="C50" s="2708" t="s">
        <v>2760</v>
      </c>
      <c r="D50" s="2709" t="s">
        <v>2761</v>
      </c>
      <c r="E50" s="687" t="s">
        <v>2762</v>
      </c>
      <c r="F50" s="688" t="s">
        <v>2763</v>
      </c>
      <c r="G50" s="3331" t="s">
        <v>2764</v>
      </c>
      <c r="H50" s="3412"/>
      <c r="I50" s="1819" t="s">
        <v>2801</v>
      </c>
      <c r="J50" s="1819">
        <f>项目基本情况!F35</f>
        <v>0</v>
      </c>
      <c r="K50" s="2711" t="s">
        <v>2766</v>
      </c>
      <c r="L50" s="1110"/>
      <c r="M50" s="1148"/>
      <c r="N50" s="1148"/>
      <c r="O50" s="1148"/>
    </row>
    <row r="51" spans="1:17" s="693" customFormat="1">
      <c r="A51" s="689" t="s">
        <v>2767</v>
      </c>
      <c r="B51" s="690" t="e">
        <f>C43</f>
        <v>#DIV/0!</v>
      </c>
      <c r="C51" s="691">
        <v>1</v>
      </c>
      <c r="D51" s="1167">
        <v>1</v>
      </c>
      <c r="E51" s="691">
        <f>'数据-汇总表'!E8+'数据-汇总表'!E9</f>
        <v>66448.330000000016</v>
      </c>
      <c r="F51" s="692" t="e">
        <f t="shared" ref="F51:F60" si="15">ROUND(B51*E51/10000,0)</f>
        <v>#DIV/0!</v>
      </c>
      <c r="G51" s="3313"/>
      <c r="H51" s="3314"/>
      <c r="I51" s="946">
        <v>1</v>
      </c>
      <c r="J51" s="946">
        <v>1</v>
      </c>
      <c r="K51" s="1149"/>
      <c r="L51" s="945"/>
      <c r="M51" s="945"/>
      <c r="N51" s="945"/>
      <c r="O51" s="945"/>
    </row>
    <row r="52" spans="1:17" s="693" customFormat="1">
      <c r="A52" s="694" t="s">
        <v>2768</v>
      </c>
      <c r="B52" s="263" t="e">
        <f>ROUND($C$43*C52*D52,0)</f>
        <v>#DIV/0!</v>
      </c>
      <c r="C52" s="201">
        <f t="shared" ref="C52:C60" si="16">IF($C$50="北京市系数",I52,J52)</f>
        <v>0.7</v>
      </c>
      <c r="D52" s="1168">
        <v>0.25</v>
      </c>
      <c r="E52" s="695"/>
      <c r="F52" s="692" t="e">
        <f t="shared" si="15"/>
        <v>#DIV/0!</v>
      </c>
      <c r="G52" s="3413" t="s">
        <v>2769</v>
      </c>
      <c r="H52" s="1108" t="str">
        <f>项目基本情况!B37</f>
        <v>三级</v>
      </c>
      <c r="I52" s="946">
        <f>SUMIF(修正!A45:A56,H52,修正!B45:B56)</f>
        <v>0.7</v>
      </c>
      <c r="J52" s="947"/>
      <c r="K52" s="1148"/>
      <c r="L52" s="945"/>
      <c r="M52" s="945"/>
      <c r="N52" s="945"/>
      <c r="O52" s="945"/>
    </row>
    <row r="53" spans="1:17" s="693" customFormat="1">
      <c r="A53" s="694" t="s">
        <v>2770</v>
      </c>
      <c r="B53" s="263" t="e">
        <f t="shared" ref="B53:B60" si="17">ROUND($C$43*C53*D53,0)</f>
        <v>#DIV/0!</v>
      </c>
      <c r="C53" s="201">
        <f t="shared" si="16"/>
        <v>0.4</v>
      </c>
      <c r="D53" s="1168">
        <v>0.25</v>
      </c>
      <c r="E53" s="695"/>
      <c r="F53" s="692" t="e">
        <f t="shared" si="15"/>
        <v>#DIV/0!</v>
      </c>
      <c r="G53" s="3413"/>
      <c r="H53" s="1108" t="str">
        <f>项目基本情况!B37</f>
        <v>三级</v>
      </c>
      <c r="I53" s="946">
        <f>SUMIF(修正!A45:A56,H53,修正!C45:C56)</f>
        <v>0.4</v>
      </c>
      <c r="J53" s="947"/>
      <c r="K53" s="1149"/>
      <c r="L53" s="945"/>
      <c r="M53" s="945"/>
      <c r="N53" s="945"/>
      <c r="O53" s="945"/>
    </row>
    <row r="54" spans="1:17" s="693" customFormat="1">
      <c r="A54" s="694" t="s">
        <v>2771</v>
      </c>
      <c r="B54" s="263" t="e">
        <f t="shared" si="17"/>
        <v>#DIV/0!</v>
      </c>
      <c r="C54" s="201">
        <f t="shared" si="16"/>
        <v>0.28000000000000003</v>
      </c>
      <c r="D54" s="1168">
        <v>0.25</v>
      </c>
      <c r="E54" s="695"/>
      <c r="F54" s="692" t="e">
        <f t="shared" si="15"/>
        <v>#DIV/0!</v>
      </c>
      <c r="G54" s="3413"/>
      <c r="H54" s="1108" t="str">
        <f>项目基本情况!B37</f>
        <v>三级</v>
      </c>
      <c r="I54" s="946">
        <f>SUMIF(修正!A45:A56,H54,修正!D45:D56)</f>
        <v>0.28000000000000003</v>
      </c>
      <c r="J54" s="947"/>
      <c r="K54" s="1148"/>
      <c r="L54" s="945"/>
      <c r="M54" s="945"/>
      <c r="N54" s="945"/>
      <c r="O54" s="945"/>
    </row>
    <row r="55" spans="1:17" s="693" customFormat="1">
      <c r="A55" s="694" t="s">
        <v>2772</v>
      </c>
      <c r="B55" s="263" t="e">
        <f t="shared" si="17"/>
        <v>#DIV/0!</v>
      </c>
      <c r="C55" s="201">
        <f t="shared" si="16"/>
        <v>0.25</v>
      </c>
      <c r="D55" s="1168">
        <v>0.25</v>
      </c>
      <c r="E55" s="695"/>
      <c r="F55" s="692" t="e">
        <f t="shared" si="15"/>
        <v>#DIV/0!</v>
      </c>
      <c r="G55" s="3413"/>
      <c r="H55" s="1108" t="str">
        <f>项目基本情况!B37</f>
        <v>三级</v>
      </c>
      <c r="I55" s="946">
        <f>SUMIF(修正!A45:A56,H55,修正!E45:E56)</f>
        <v>0.25</v>
      </c>
      <c r="J55" s="947"/>
      <c r="K55" s="1149"/>
      <c r="L55" s="945"/>
      <c r="M55" s="945"/>
      <c r="N55" s="945"/>
      <c r="O55" s="945"/>
    </row>
    <row r="56" spans="1:17" s="693" customFormat="1">
      <c r="A56" s="694" t="s">
        <v>2773</v>
      </c>
      <c r="B56" s="263" t="e">
        <f t="shared" si="17"/>
        <v>#DIV/0!</v>
      </c>
      <c r="C56" s="201">
        <f t="shared" si="16"/>
        <v>0.25</v>
      </c>
      <c r="D56" s="1168">
        <v>0.25</v>
      </c>
      <c r="E56" s="262">
        <f>'数据-汇总表'!E11</f>
        <v>0</v>
      </c>
      <c r="F56" s="692" t="e">
        <f t="shared" si="15"/>
        <v>#DIV/0!</v>
      </c>
      <c r="G56" s="2712" t="s">
        <v>2774</v>
      </c>
      <c r="H56" s="1108" t="str">
        <f>项目基本情况!C37</f>
        <v>三级</v>
      </c>
      <c r="I56" s="946">
        <f>SUMIF(修正!A45:A56,H56,修正!F45:F56)</f>
        <v>0.25</v>
      </c>
      <c r="J56" s="947"/>
      <c r="K56" s="1148"/>
      <c r="L56" s="945"/>
      <c r="M56" s="945"/>
      <c r="N56" s="945"/>
      <c r="O56" s="945"/>
    </row>
    <row r="57" spans="1:17" s="693" customFormat="1">
      <c r="A57" s="694" t="s">
        <v>2775</v>
      </c>
      <c r="B57" s="263" t="e">
        <f t="shared" si="17"/>
        <v>#DIV/0!</v>
      </c>
      <c r="C57" s="201">
        <f t="shared" si="16"/>
        <v>0.25</v>
      </c>
      <c r="D57" s="1168">
        <v>0.25</v>
      </c>
      <c r="E57" s="262">
        <f>'数据-汇总表'!E12</f>
        <v>0</v>
      </c>
      <c r="F57" s="692" t="e">
        <f t="shared" si="15"/>
        <v>#DIV/0!</v>
      </c>
      <c r="G57" s="1113" t="s">
        <v>2776</v>
      </c>
      <c r="H57" s="1108" t="str">
        <f>IF(G57="商业",项目基本情况!B37,IF(G57="办公",项目基本情况!C37,IF(G57="住宅",项目基本情况!D37,项目基本情况!E37)))</f>
        <v>三级</v>
      </c>
      <c r="I57" s="946">
        <f>SUMIF(修正!A45:A56,H57,修正!G45:G56)</f>
        <v>0.25</v>
      </c>
      <c r="J57" s="947"/>
      <c r="K57" s="1149"/>
      <c r="L57" s="945"/>
      <c r="M57" s="945"/>
      <c r="N57" s="945"/>
      <c r="O57" s="945"/>
    </row>
    <row r="58" spans="1:17" s="693" customFormat="1">
      <c r="A58" s="694" t="s">
        <v>2777</v>
      </c>
      <c r="B58" s="263" t="e">
        <f t="shared" si="17"/>
        <v>#DIV/0!</v>
      </c>
      <c r="C58" s="201">
        <f t="shared" si="16"/>
        <v>0</v>
      </c>
      <c r="D58" s="1168">
        <v>0.25</v>
      </c>
      <c r="E58" s="262">
        <f>'数据-汇总表'!E13</f>
        <v>0</v>
      </c>
      <c r="F58" s="692" t="e">
        <f t="shared" si="15"/>
        <v>#DIV/0!</v>
      </c>
      <c r="G58" s="1113" t="s">
        <v>2778</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2779</v>
      </c>
      <c r="B59" s="263" t="e">
        <f t="shared" si="17"/>
        <v>#DIV/0!</v>
      </c>
      <c r="C59" s="201">
        <f t="shared" si="16"/>
        <v>0.2</v>
      </c>
      <c r="D59" s="1168">
        <v>0.25</v>
      </c>
      <c r="E59" s="262">
        <f>'数据-汇总表'!E14</f>
        <v>0</v>
      </c>
      <c r="F59" s="692" t="e">
        <f t="shared" si="15"/>
        <v>#DIV/0!</v>
      </c>
      <c r="G59" s="2712" t="s">
        <v>2769</v>
      </c>
      <c r="H59" s="1108" t="str">
        <f>项目基本情况!B37</f>
        <v>三级</v>
      </c>
      <c r="I59" s="946">
        <f>SUMIF(修正!A45:A56,H59,修正!H45:H56)</f>
        <v>0.2</v>
      </c>
      <c r="J59" s="947"/>
      <c r="K59" s="1149"/>
      <c r="L59" s="945"/>
      <c r="M59" s="945"/>
      <c r="N59" s="945"/>
      <c r="O59" s="945"/>
    </row>
    <row r="60" spans="1:17" s="693" customFormat="1" ht="15" thickBot="1">
      <c r="A60" s="694" t="s">
        <v>2780</v>
      </c>
      <c r="B60" s="263" t="e">
        <f t="shared" si="17"/>
        <v>#DIV/0!</v>
      </c>
      <c r="C60" s="201">
        <f t="shared" si="16"/>
        <v>0.2</v>
      </c>
      <c r="D60" s="1168">
        <v>0.25</v>
      </c>
      <c r="E60" s="262">
        <f>'数据-汇总表'!E15</f>
        <v>0</v>
      </c>
      <c r="F60" s="692" t="e">
        <f t="shared" si="15"/>
        <v>#DIV/0!</v>
      </c>
      <c r="G60" s="2713" t="s">
        <v>2774</v>
      </c>
      <c r="H60" s="1118" t="str">
        <f>项目基本情况!C37</f>
        <v>三级</v>
      </c>
      <c r="I60" s="946">
        <f>SUMIF(修正!A45:A56,H60,修正!H45:H56)</f>
        <v>0.2</v>
      </c>
      <c r="J60" s="947"/>
      <c r="K60" s="1148"/>
      <c r="L60" s="945"/>
      <c r="M60" s="945"/>
      <c r="N60" s="945"/>
      <c r="O60" s="945"/>
    </row>
    <row r="61" spans="1:17" s="693" customFormat="1" ht="15" thickBot="1">
      <c r="A61" s="696" t="s">
        <v>2781</v>
      </c>
      <c r="B61" s="697" t="s">
        <v>28</v>
      </c>
      <c r="C61" s="697" t="s">
        <v>29</v>
      </c>
      <c r="D61" s="697" t="s">
        <v>1029</v>
      </c>
      <c r="E61" s="697">
        <f>IF(B41="楼面地价",SUM(E51:E60),'数据-汇总表'!D3)</f>
        <v>9773.2199999999993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2674</v>
      </c>
      <c r="B64" s="760"/>
      <c r="C64" s="765"/>
      <c r="D64" s="765"/>
      <c r="E64" s="765"/>
      <c r="F64" s="766"/>
      <c r="G64" s="766"/>
      <c r="H64" s="765"/>
      <c r="I64" s="765"/>
      <c r="J64" s="765"/>
      <c r="K64" s="767"/>
      <c r="L64" s="768"/>
      <c r="M64" s="765"/>
      <c r="N64" s="765"/>
      <c r="O64" s="1163"/>
      <c r="P64" s="504"/>
      <c r="Q64" s="505"/>
    </row>
    <row r="65" spans="1:17" s="509" customFormat="1" ht="15">
      <c r="A65" s="2714" t="s">
        <v>2782</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19" t="s">
        <v>2802</v>
      </c>
      <c r="B66" s="333" t="str">
        <f>"北京市平均增长率"&amp;TEXT('基准地价修正（地上2层）'!P24,"0.00%")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2588</v>
      </c>
      <c r="B70" s="529" t="s">
        <v>2554</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2557</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2691</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2750</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2792</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2794</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2795</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4" workbookViewId="0">
      <selection activeCell="D20" sqref="D20"/>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418" t="s">
        <v>183</v>
      </c>
      <c r="B18" s="883" t="s">
        <v>560</v>
      </c>
      <c r="C18" s="884" t="s">
        <v>561</v>
      </c>
      <c r="D18" s="885"/>
      <c r="E18" s="883">
        <v>1</v>
      </c>
      <c r="F18" s="886" t="s">
        <v>562</v>
      </c>
      <c r="G18" s="887"/>
      <c r="H18" s="879"/>
      <c r="I18" s="879"/>
    </row>
    <row r="19" spans="1:9" s="888" customFormat="1" ht="19.5" customHeight="1">
      <c r="A19" s="3418"/>
      <c r="B19" s="3418" t="s">
        <v>563</v>
      </c>
      <c r="C19" s="884" t="s">
        <v>564</v>
      </c>
      <c r="D19" s="885"/>
      <c r="E19" s="883">
        <v>0.9</v>
      </c>
      <c r="F19" s="886" t="s">
        <v>565</v>
      </c>
      <c r="G19" s="887"/>
      <c r="H19" s="879"/>
      <c r="I19" s="879"/>
    </row>
    <row r="20" spans="1:9" s="888" customFormat="1" ht="19.5" customHeight="1">
      <c r="A20" s="3418"/>
      <c r="B20" s="3418"/>
      <c r="C20" s="884" t="s">
        <v>566</v>
      </c>
      <c r="D20" s="885"/>
      <c r="E20" s="883">
        <v>1.1000000000000001</v>
      </c>
      <c r="F20" s="886" t="s">
        <v>567</v>
      </c>
      <c r="G20" s="887"/>
      <c r="H20" s="879"/>
      <c r="I20" s="879"/>
    </row>
    <row r="21" spans="1:9" s="888" customFormat="1" ht="19.5" customHeight="1">
      <c r="A21" s="3418"/>
      <c r="B21" s="3418"/>
      <c r="C21" s="884" t="s">
        <v>568</v>
      </c>
      <c r="D21" s="885"/>
      <c r="E21" s="883">
        <v>0.8</v>
      </c>
      <c r="F21" s="886" t="s">
        <v>569</v>
      </c>
      <c r="G21" s="887"/>
      <c r="H21" s="879"/>
      <c r="I21" s="879"/>
    </row>
    <row r="22" spans="1:9" s="888" customFormat="1" ht="19.5" customHeight="1">
      <c r="A22" s="3418"/>
      <c r="B22" s="3418"/>
      <c r="C22" s="884" t="s">
        <v>570</v>
      </c>
      <c r="D22" s="885"/>
      <c r="E22" s="883">
        <v>0.5</v>
      </c>
      <c r="F22" s="886"/>
      <c r="G22" s="887"/>
      <c r="H22" s="879"/>
      <c r="I22" s="879"/>
    </row>
    <row r="23" spans="1:9" s="888" customFormat="1" ht="19.5" customHeight="1">
      <c r="A23" s="3418" t="s">
        <v>184</v>
      </c>
      <c r="B23" s="883" t="s">
        <v>560</v>
      </c>
      <c r="C23" s="884" t="s">
        <v>571</v>
      </c>
      <c r="D23" s="885"/>
      <c r="E23" s="883">
        <v>1</v>
      </c>
      <c r="F23" s="886" t="s">
        <v>572</v>
      </c>
      <c r="G23" s="887"/>
      <c r="H23" s="879"/>
      <c r="I23" s="879"/>
    </row>
    <row r="24" spans="1:9" s="888" customFormat="1" ht="19.5" customHeight="1">
      <c r="A24" s="3418"/>
      <c r="B24" s="3418" t="s">
        <v>563</v>
      </c>
      <c r="C24" s="884" t="s">
        <v>573</v>
      </c>
      <c r="D24" s="885"/>
      <c r="E24" s="883">
        <v>0.5</v>
      </c>
      <c r="F24" s="886"/>
      <c r="G24" s="887"/>
      <c r="H24" s="879"/>
      <c r="I24" s="879"/>
    </row>
    <row r="25" spans="1:9" s="888" customFormat="1" ht="19.5" customHeight="1">
      <c r="A25" s="3418"/>
      <c r="B25" s="3418"/>
      <c r="C25" s="884" t="s">
        <v>574</v>
      </c>
      <c r="D25" s="885"/>
      <c r="E25" s="883">
        <v>1.1000000000000001</v>
      </c>
      <c r="F25" s="886"/>
      <c r="G25" s="887"/>
      <c r="H25" s="879"/>
      <c r="I25" s="879"/>
    </row>
    <row r="26" spans="1:9" s="888" customFormat="1" ht="19.5" customHeight="1">
      <c r="A26" s="3418"/>
      <c r="B26" s="3418"/>
      <c r="C26" s="884" t="s">
        <v>575</v>
      </c>
      <c r="D26" s="885"/>
      <c r="E26" s="883">
        <v>1.1000000000000001</v>
      </c>
      <c r="F26" s="886"/>
      <c r="G26" s="887"/>
      <c r="H26" s="879"/>
      <c r="I26" s="879"/>
    </row>
    <row r="27" spans="1:9" s="888" customFormat="1" ht="19.5" customHeight="1">
      <c r="A27" s="3418"/>
      <c r="B27" s="3418"/>
      <c r="C27" s="884" t="s">
        <v>576</v>
      </c>
      <c r="D27" s="885"/>
      <c r="E27" s="883">
        <v>0.9</v>
      </c>
      <c r="F27" s="886" t="s">
        <v>577</v>
      </c>
      <c r="G27" s="887"/>
      <c r="H27" s="879"/>
      <c r="I27" s="879"/>
    </row>
    <row r="28" spans="1:9" s="888" customFormat="1" ht="19.5" customHeight="1">
      <c r="A28" s="3418"/>
      <c r="B28" s="3418"/>
      <c r="C28" s="884" t="s">
        <v>578</v>
      </c>
      <c r="D28" s="885"/>
      <c r="E28" s="883">
        <v>0.9</v>
      </c>
      <c r="F28" s="886" t="s">
        <v>579</v>
      </c>
      <c r="G28" s="887"/>
      <c r="H28" s="879"/>
      <c r="I28" s="879"/>
    </row>
    <row r="29" spans="1:9" s="888" customFormat="1" ht="19.5" customHeight="1">
      <c r="A29" s="3418"/>
      <c r="B29" s="3418"/>
      <c r="C29" s="884" t="s">
        <v>580</v>
      </c>
      <c r="D29" s="885"/>
      <c r="E29" s="883">
        <v>0.9</v>
      </c>
      <c r="F29" s="886" t="s">
        <v>581</v>
      </c>
      <c r="G29" s="887"/>
      <c r="H29" s="879"/>
      <c r="I29" s="879"/>
    </row>
    <row r="30" spans="1:9" s="888" customFormat="1" ht="19.5" customHeight="1">
      <c r="A30" s="3418"/>
      <c r="B30" s="3418"/>
      <c r="C30" s="884" t="s">
        <v>582</v>
      </c>
      <c r="D30" s="885"/>
      <c r="E30" s="883">
        <v>0.9</v>
      </c>
      <c r="F30" s="886" t="s">
        <v>583</v>
      </c>
      <c r="G30" s="887"/>
      <c r="H30" s="879"/>
      <c r="I30" s="879"/>
    </row>
    <row r="31" spans="1:9" s="888" customFormat="1" ht="19.5" customHeight="1">
      <c r="A31" s="3418"/>
      <c r="B31" s="3418"/>
      <c r="C31" s="884" t="s">
        <v>584</v>
      </c>
      <c r="D31" s="885"/>
      <c r="E31" s="883">
        <v>0.8</v>
      </c>
      <c r="F31" s="886" t="s">
        <v>585</v>
      </c>
      <c r="G31" s="887"/>
      <c r="H31" s="879"/>
      <c r="I31" s="879"/>
    </row>
    <row r="32" spans="1:9" s="888" customFormat="1" ht="19.5" customHeight="1">
      <c r="A32" s="3418"/>
      <c r="B32" s="3418"/>
      <c r="C32" s="884" t="s">
        <v>586</v>
      </c>
      <c r="D32" s="885"/>
      <c r="E32" s="883">
        <v>0.8</v>
      </c>
      <c r="F32" s="886" t="s">
        <v>587</v>
      </c>
      <c r="G32" s="887"/>
      <c r="H32" s="879"/>
      <c r="I32" s="879"/>
    </row>
    <row r="33" spans="1:9" s="888" customFormat="1" ht="19.5" customHeight="1">
      <c r="A33" s="3418" t="s">
        <v>185</v>
      </c>
      <c r="B33" s="883" t="s">
        <v>560</v>
      </c>
      <c r="C33" s="884" t="s">
        <v>588</v>
      </c>
      <c r="D33" s="885"/>
      <c r="E33" s="883">
        <v>1</v>
      </c>
      <c r="F33" s="886" t="s">
        <v>589</v>
      </c>
      <c r="G33" s="887"/>
      <c r="H33" s="879"/>
      <c r="I33" s="879"/>
    </row>
    <row r="34" spans="1:9" s="888" customFormat="1" ht="19.5" customHeight="1">
      <c r="A34" s="3418"/>
      <c r="B34" s="883" t="s">
        <v>563</v>
      </c>
      <c r="C34" s="884" t="s">
        <v>590</v>
      </c>
      <c r="D34" s="885"/>
      <c r="E34" s="883">
        <v>1.5</v>
      </c>
      <c r="F34" s="886" t="s">
        <v>591</v>
      </c>
      <c r="G34" s="887"/>
      <c r="H34" s="879"/>
      <c r="I34" s="879"/>
    </row>
    <row r="35" spans="1:9" s="888" customFormat="1" ht="19.5" customHeight="1">
      <c r="A35" s="3418" t="s">
        <v>186</v>
      </c>
      <c r="B35" s="883" t="s">
        <v>560</v>
      </c>
      <c r="C35" s="884" t="s">
        <v>592</v>
      </c>
      <c r="D35" s="885"/>
      <c r="E35" s="883">
        <v>1</v>
      </c>
      <c r="F35" s="886" t="s">
        <v>593</v>
      </c>
      <c r="G35" s="887"/>
      <c r="H35" s="879"/>
      <c r="I35" s="879"/>
    </row>
    <row r="36" spans="1:9" s="888" customFormat="1" ht="19.5" customHeight="1">
      <c r="A36" s="3418"/>
      <c r="B36" s="3418" t="s">
        <v>563</v>
      </c>
      <c r="C36" s="884" t="s">
        <v>594</v>
      </c>
      <c r="D36" s="885"/>
      <c r="E36" s="883">
        <v>1</v>
      </c>
      <c r="F36" s="886" t="s">
        <v>595</v>
      </c>
      <c r="G36" s="887"/>
      <c r="H36" s="879"/>
      <c r="I36" s="879"/>
    </row>
    <row r="37" spans="1:9" s="888" customFormat="1" ht="19.5" customHeight="1">
      <c r="A37" s="3418"/>
      <c r="B37" s="3418"/>
      <c r="C37" s="884" t="s">
        <v>596</v>
      </c>
      <c r="D37" s="885"/>
      <c r="E37" s="883">
        <v>1.5</v>
      </c>
      <c r="F37" s="886" t="s">
        <v>597</v>
      </c>
      <c r="G37" s="887"/>
      <c r="H37" s="879"/>
      <c r="I37" s="879"/>
    </row>
    <row r="38" spans="1:9" s="888" customFormat="1" ht="19.5" customHeight="1">
      <c r="A38" s="3418"/>
      <c r="B38" s="3418"/>
      <c r="C38" s="884" t="s">
        <v>598</v>
      </c>
      <c r="D38" s="885"/>
      <c r="E38" s="883">
        <v>1</v>
      </c>
      <c r="F38" s="886" t="s">
        <v>599</v>
      </c>
      <c r="G38" s="887"/>
      <c r="H38" s="879"/>
      <c r="I38" s="879"/>
    </row>
    <row r="39" spans="1:9" s="888" customFormat="1" ht="19.5" customHeight="1">
      <c r="A39" s="3418"/>
      <c r="B39" s="341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418" t="s">
        <v>614</v>
      </c>
      <c r="C61" s="819" t="s">
        <v>615</v>
      </c>
      <c r="D61" s="819" t="s">
        <v>616</v>
      </c>
      <c r="E61" s="896">
        <v>0.5</v>
      </c>
      <c r="F61" s="883">
        <v>80</v>
      </c>
    </row>
    <row r="62" spans="1:8" s="879" customFormat="1" ht="24">
      <c r="A62" s="883">
        <v>2</v>
      </c>
      <c r="B62" s="3418"/>
      <c r="C62" s="819" t="s">
        <v>617</v>
      </c>
      <c r="D62" s="819" t="s">
        <v>618</v>
      </c>
      <c r="E62" s="896">
        <v>0.5</v>
      </c>
      <c r="F62" s="883">
        <v>80</v>
      </c>
    </row>
    <row r="63" spans="1:8" s="879" customFormat="1" ht="36">
      <c r="A63" s="883">
        <v>3</v>
      </c>
      <c r="B63" s="3418"/>
      <c r="C63" s="819" t="s">
        <v>619</v>
      </c>
      <c r="D63" s="819" t="s">
        <v>620</v>
      </c>
      <c r="E63" s="896">
        <v>0.5</v>
      </c>
      <c r="F63" s="883">
        <v>80</v>
      </c>
    </row>
    <row r="64" spans="1:8" s="879" customFormat="1" ht="36">
      <c r="A64" s="883">
        <v>4</v>
      </c>
      <c r="B64" s="3418"/>
      <c r="C64" s="819" t="s">
        <v>621</v>
      </c>
      <c r="D64" s="819" t="s">
        <v>622</v>
      </c>
      <c r="E64" s="896">
        <v>0.4</v>
      </c>
      <c r="F64" s="883">
        <v>60</v>
      </c>
    </row>
    <row r="65" spans="1:6" s="879" customFormat="1" ht="36">
      <c r="A65" s="883">
        <v>5</v>
      </c>
      <c r="B65" s="3418"/>
      <c r="C65" s="819" t="s">
        <v>623</v>
      </c>
      <c r="D65" s="819" t="s">
        <v>624</v>
      </c>
      <c r="E65" s="896">
        <v>0.2</v>
      </c>
      <c r="F65" s="883">
        <v>30</v>
      </c>
    </row>
    <row r="66" spans="1:6" s="879" customFormat="1" ht="36">
      <c r="A66" s="883">
        <v>6</v>
      </c>
      <c r="B66" s="3418"/>
      <c r="C66" s="819" t="s">
        <v>625</v>
      </c>
      <c r="D66" s="819" t="s">
        <v>626</v>
      </c>
      <c r="E66" s="896">
        <v>0.3</v>
      </c>
      <c r="F66" s="883">
        <v>50</v>
      </c>
    </row>
    <row r="67" spans="1:6" s="879" customFormat="1" ht="36">
      <c r="A67" s="883">
        <v>7</v>
      </c>
      <c r="B67" s="3418"/>
      <c r="C67" s="819" t="s">
        <v>627</v>
      </c>
      <c r="D67" s="819" t="s">
        <v>628</v>
      </c>
      <c r="E67" s="896">
        <v>0.2</v>
      </c>
      <c r="F67" s="883">
        <v>30</v>
      </c>
    </row>
    <row r="68" spans="1:6" s="879" customFormat="1" ht="36">
      <c r="A68" s="883">
        <v>8</v>
      </c>
      <c r="B68" s="3418"/>
      <c r="C68" s="819" t="s">
        <v>629</v>
      </c>
      <c r="D68" s="819" t="s">
        <v>630</v>
      </c>
      <c r="E68" s="896">
        <v>0.2</v>
      </c>
      <c r="F68" s="883">
        <v>30</v>
      </c>
    </row>
    <row r="69" spans="1:6" s="879" customFormat="1" ht="36">
      <c r="A69" s="883">
        <v>9</v>
      </c>
      <c r="B69" s="3418"/>
      <c r="C69" s="819" t="s">
        <v>631</v>
      </c>
      <c r="D69" s="819" t="s">
        <v>632</v>
      </c>
      <c r="E69" s="896">
        <v>0.2</v>
      </c>
      <c r="F69" s="883">
        <v>30</v>
      </c>
    </row>
    <row r="70" spans="1:6" s="879" customFormat="1" ht="48">
      <c r="A70" s="883">
        <v>10</v>
      </c>
      <c r="B70" s="3418"/>
      <c r="C70" s="819" t="s">
        <v>633</v>
      </c>
      <c r="D70" s="819" t="s">
        <v>634</v>
      </c>
      <c r="E70" s="896">
        <v>0.2</v>
      </c>
      <c r="F70" s="883">
        <v>30</v>
      </c>
    </row>
    <row r="71" spans="1:6" s="879" customFormat="1" ht="48">
      <c r="A71" s="883">
        <v>11</v>
      </c>
      <c r="B71" s="3418"/>
      <c r="C71" s="819" t="s">
        <v>635</v>
      </c>
      <c r="D71" s="819" t="s">
        <v>636</v>
      </c>
      <c r="E71" s="896">
        <v>0.2</v>
      </c>
      <c r="F71" s="883">
        <v>30</v>
      </c>
    </row>
    <row r="72" spans="1:6" s="879" customFormat="1" ht="36">
      <c r="A72" s="883">
        <v>12</v>
      </c>
      <c r="B72" s="3418"/>
      <c r="C72" s="819" t="s">
        <v>637</v>
      </c>
      <c r="D72" s="819" t="s">
        <v>638</v>
      </c>
      <c r="E72" s="896">
        <v>0.5</v>
      </c>
      <c r="F72" s="883">
        <v>80</v>
      </c>
    </row>
    <row r="73" spans="1:6" s="879" customFormat="1" ht="24">
      <c r="A73" s="883">
        <v>13</v>
      </c>
      <c r="B73" s="3418"/>
      <c r="C73" s="819" t="s">
        <v>639</v>
      </c>
      <c r="D73" s="819" t="s">
        <v>640</v>
      </c>
      <c r="E73" s="896">
        <v>0.4</v>
      </c>
      <c r="F73" s="883">
        <v>60</v>
      </c>
    </row>
    <row r="74" spans="1:6" s="879" customFormat="1" ht="24">
      <c r="A74" s="883">
        <v>14</v>
      </c>
      <c r="B74" s="3418"/>
      <c r="C74" s="819" t="s">
        <v>641</v>
      </c>
      <c r="D74" s="819" t="s">
        <v>642</v>
      </c>
      <c r="E74" s="896">
        <v>0.2</v>
      </c>
      <c r="F74" s="883">
        <v>30</v>
      </c>
    </row>
    <row r="75" spans="1:6" s="879" customFormat="1" ht="24">
      <c r="A75" s="883">
        <v>15</v>
      </c>
      <c r="B75" s="3418"/>
      <c r="C75" s="819" t="s">
        <v>643</v>
      </c>
      <c r="D75" s="819" t="s">
        <v>644</v>
      </c>
      <c r="E75" s="896">
        <v>0.2</v>
      </c>
      <c r="F75" s="883">
        <v>30</v>
      </c>
    </row>
    <row r="76" spans="1:6" s="879" customFormat="1" ht="24">
      <c r="A76" s="883">
        <v>16</v>
      </c>
      <c r="B76" s="3418" t="s">
        <v>645</v>
      </c>
      <c r="C76" s="819" t="s">
        <v>646</v>
      </c>
      <c r="D76" s="819" t="s">
        <v>647</v>
      </c>
      <c r="E76" s="896">
        <v>0.5</v>
      </c>
      <c r="F76" s="883">
        <v>80</v>
      </c>
    </row>
    <row r="77" spans="1:6" s="879" customFormat="1" ht="24">
      <c r="A77" s="883">
        <v>17</v>
      </c>
      <c r="B77" s="3418"/>
      <c r="C77" s="819" t="s">
        <v>648</v>
      </c>
      <c r="D77" s="819" t="s">
        <v>649</v>
      </c>
      <c r="E77" s="896">
        <v>0.5</v>
      </c>
      <c r="F77" s="883">
        <v>80</v>
      </c>
    </row>
    <row r="78" spans="1:6" s="879" customFormat="1" ht="24">
      <c r="A78" s="883">
        <v>18</v>
      </c>
      <c r="B78" s="3418"/>
      <c r="C78" s="819" t="s">
        <v>650</v>
      </c>
      <c r="D78" s="819" t="s">
        <v>651</v>
      </c>
      <c r="E78" s="896">
        <v>0.2</v>
      </c>
      <c r="F78" s="883">
        <v>30</v>
      </c>
    </row>
    <row r="79" spans="1:6" s="879" customFormat="1" ht="24">
      <c r="A79" s="883">
        <v>19</v>
      </c>
      <c r="B79" s="3418"/>
      <c r="C79" s="819" t="s">
        <v>652</v>
      </c>
      <c r="D79" s="819" t="s">
        <v>653</v>
      </c>
      <c r="E79" s="896">
        <v>0.5</v>
      </c>
      <c r="F79" s="883">
        <v>80</v>
      </c>
    </row>
    <row r="80" spans="1:6" s="879" customFormat="1" ht="36">
      <c r="A80" s="883">
        <v>20</v>
      </c>
      <c r="B80" s="3418"/>
      <c r="C80" s="819" t="s">
        <v>654</v>
      </c>
      <c r="D80" s="819" t="s">
        <v>655</v>
      </c>
      <c r="E80" s="896">
        <v>0.2</v>
      </c>
      <c r="F80" s="883">
        <v>30</v>
      </c>
    </row>
    <row r="81" spans="1:6" s="879" customFormat="1" ht="36">
      <c r="A81" s="883">
        <v>21</v>
      </c>
      <c r="B81" s="3418"/>
      <c r="C81" s="819" t="s">
        <v>656</v>
      </c>
      <c r="D81" s="819" t="s">
        <v>657</v>
      </c>
      <c r="E81" s="896">
        <v>0.2</v>
      </c>
      <c r="F81" s="883">
        <v>30</v>
      </c>
    </row>
    <row r="82" spans="1:6" s="879" customFormat="1" ht="48">
      <c r="A82" s="883">
        <v>22</v>
      </c>
      <c r="B82" s="3418"/>
      <c r="C82" s="819" t="s">
        <v>658</v>
      </c>
      <c r="D82" s="819" t="s">
        <v>659</v>
      </c>
      <c r="E82" s="896">
        <v>0.2</v>
      </c>
      <c r="F82" s="883">
        <v>30</v>
      </c>
    </row>
    <row r="83" spans="1:6" s="879" customFormat="1" ht="48">
      <c r="A83" s="883">
        <v>23</v>
      </c>
      <c r="B83" s="3418"/>
      <c r="C83" s="819" t="s">
        <v>660</v>
      </c>
      <c r="D83" s="819" t="s">
        <v>661</v>
      </c>
      <c r="E83" s="896">
        <v>0.2</v>
      </c>
      <c r="F83" s="883">
        <v>30</v>
      </c>
    </row>
    <row r="84" spans="1:6" s="879" customFormat="1" ht="36">
      <c r="A84" s="883">
        <v>24</v>
      </c>
      <c r="B84" s="3418"/>
      <c r="C84" s="819" t="s">
        <v>662</v>
      </c>
      <c r="D84" s="819" t="s">
        <v>663</v>
      </c>
      <c r="E84" s="896">
        <v>0.2</v>
      </c>
      <c r="F84" s="883">
        <v>30</v>
      </c>
    </row>
    <row r="85" spans="1:6" s="879" customFormat="1" ht="36">
      <c r="A85" s="883">
        <v>25</v>
      </c>
      <c r="B85" s="3418"/>
      <c r="C85" s="819" t="s">
        <v>664</v>
      </c>
      <c r="D85" s="819" t="s">
        <v>665</v>
      </c>
      <c r="E85" s="896">
        <v>0.5</v>
      </c>
      <c r="F85" s="883">
        <v>80</v>
      </c>
    </row>
    <row r="86" spans="1:6" s="879" customFormat="1" ht="36">
      <c r="A86" s="883">
        <v>26</v>
      </c>
      <c r="B86" s="3418"/>
      <c r="C86" s="819" t="s">
        <v>666</v>
      </c>
      <c r="D86" s="819" t="s">
        <v>667</v>
      </c>
      <c r="E86" s="896">
        <v>0.2</v>
      </c>
      <c r="F86" s="883">
        <v>30</v>
      </c>
    </row>
    <row r="87" spans="1:6" s="879" customFormat="1" ht="36">
      <c r="A87" s="883">
        <v>27</v>
      </c>
      <c r="B87" s="3418"/>
      <c r="C87" s="819" t="s">
        <v>668</v>
      </c>
      <c r="D87" s="819" t="s">
        <v>669</v>
      </c>
      <c r="E87" s="896">
        <v>0.2</v>
      </c>
      <c r="F87" s="883">
        <v>30</v>
      </c>
    </row>
    <row r="88" spans="1:6" s="879" customFormat="1" ht="36">
      <c r="A88" s="883">
        <v>28</v>
      </c>
      <c r="B88" s="3418"/>
      <c r="C88" s="819" t="s">
        <v>670</v>
      </c>
      <c r="D88" s="819" t="s">
        <v>671</v>
      </c>
      <c r="E88" s="896">
        <v>0.2</v>
      </c>
      <c r="F88" s="883">
        <v>30</v>
      </c>
    </row>
    <row r="89" spans="1:6" s="879" customFormat="1" ht="24">
      <c r="A89" s="883">
        <v>29</v>
      </c>
      <c r="B89" s="3418"/>
      <c r="C89" s="819" t="s">
        <v>672</v>
      </c>
      <c r="D89" s="819" t="s">
        <v>673</v>
      </c>
      <c r="E89" s="896">
        <v>0.2</v>
      </c>
      <c r="F89" s="883">
        <v>30</v>
      </c>
    </row>
    <row r="90" spans="1:6" s="879" customFormat="1" ht="24">
      <c r="A90" s="883">
        <v>30</v>
      </c>
      <c r="B90" s="3418"/>
      <c r="C90" s="819" t="s">
        <v>674</v>
      </c>
      <c r="D90" s="819" t="s">
        <v>675</v>
      </c>
      <c r="E90" s="896">
        <v>0.2</v>
      </c>
      <c r="F90" s="883">
        <v>30</v>
      </c>
    </row>
    <row r="91" spans="1:6" s="879" customFormat="1" ht="36">
      <c r="A91" s="883">
        <v>31</v>
      </c>
      <c r="B91" s="3418"/>
      <c r="C91" s="819" t="s">
        <v>676</v>
      </c>
      <c r="D91" s="819" t="s">
        <v>677</v>
      </c>
      <c r="E91" s="896">
        <v>0.2</v>
      </c>
      <c r="F91" s="883">
        <v>30</v>
      </c>
    </row>
    <row r="92" spans="1:6" s="879" customFormat="1" ht="24">
      <c r="A92" s="883">
        <v>32</v>
      </c>
      <c r="B92" s="3418" t="s">
        <v>678</v>
      </c>
      <c r="C92" s="883" t="s">
        <v>679</v>
      </c>
      <c r="D92" s="819" t="s">
        <v>680</v>
      </c>
      <c r="E92" s="896">
        <v>0.2</v>
      </c>
      <c r="F92" s="883">
        <v>30</v>
      </c>
    </row>
    <row r="93" spans="1:6" s="879" customFormat="1" ht="36">
      <c r="A93" s="883">
        <v>33</v>
      </c>
      <c r="B93" s="3418"/>
      <c r="C93" s="883" t="s">
        <v>681</v>
      </c>
      <c r="D93" s="819" t="s">
        <v>682</v>
      </c>
      <c r="E93" s="896">
        <v>0.2</v>
      </c>
      <c r="F93" s="883">
        <v>30</v>
      </c>
    </row>
    <row r="94" spans="1:6" s="879" customFormat="1" ht="48">
      <c r="A94" s="883">
        <v>34</v>
      </c>
      <c r="B94" s="3418"/>
      <c r="C94" s="883" t="s">
        <v>683</v>
      </c>
      <c r="D94" s="819" t="s">
        <v>684</v>
      </c>
      <c r="E94" s="896">
        <v>0.2</v>
      </c>
      <c r="F94" s="883">
        <v>30</v>
      </c>
    </row>
    <row r="95" spans="1:6" s="879" customFormat="1" ht="36">
      <c r="A95" s="883">
        <v>35</v>
      </c>
      <c r="B95" s="3418"/>
      <c r="C95" s="883" t="s">
        <v>685</v>
      </c>
      <c r="D95" s="819" t="s">
        <v>686</v>
      </c>
      <c r="E95" s="896">
        <v>0.2</v>
      </c>
      <c r="F95" s="883">
        <v>30</v>
      </c>
    </row>
    <row r="96" spans="1:6" s="879" customFormat="1" ht="48">
      <c r="A96" s="883">
        <v>36</v>
      </c>
      <c r="B96" s="3418"/>
      <c r="C96" s="819" t="s">
        <v>687</v>
      </c>
      <c r="D96" s="819" t="s">
        <v>688</v>
      </c>
      <c r="E96" s="896">
        <v>0.2</v>
      </c>
      <c r="F96" s="883">
        <v>30</v>
      </c>
    </row>
    <row r="97" spans="1:6" s="879" customFormat="1" ht="36">
      <c r="A97" s="883">
        <v>37</v>
      </c>
      <c r="B97" s="3418"/>
      <c r="C97" s="883" t="s">
        <v>689</v>
      </c>
      <c r="D97" s="819" t="s">
        <v>690</v>
      </c>
      <c r="E97" s="896">
        <v>0.2</v>
      </c>
      <c r="F97" s="883">
        <v>30</v>
      </c>
    </row>
    <row r="98" spans="1:6" s="879" customFormat="1" ht="36">
      <c r="A98" s="883">
        <v>38</v>
      </c>
      <c r="B98" s="3418"/>
      <c r="C98" s="883" t="s">
        <v>691</v>
      </c>
      <c r="D98" s="819" t="s">
        <v>692</v>
      </c>
      <c r="E98" s="896">
        <v>0.2</v>
      </c>
      <c r="F98" s="883">
        <v>30</v>
      </c>
    </row>
    <row r="99" spans="1:6" s="879" customFormat="1" ht="36">
      <c r="A99" s="883">
        <v>39</v>
      </c>
      <c r="B99" s="3418" t="s">
        <v>693</v>
      </c>
      <c r="C99" s="883" t="s">
        <v>694</v>
      </c>
      <c r="D99" s="819" t="s">
        <v>695</v>
      </c>
      <c r="E99" s="896">
        <v>0.3</v>
      </c>
      <c r="F99" s="883">
        <v>50</v>
      </c>
    </row>
    <row r="100" spans="1:6" s="879" customFormat="1" ht="24">
      <c r="A100" s="883">
        <v>40</v>
      </c>
      <c r="B100" s="3418"/>
      <c r="C100" s="883" t="s">
        <v>696</v>
      </c>
      <c r="D100" s="819" t="s">
        <v>697</v>
      </c>
      <c r="E100" s="896">
        <v>0.2</v>
      </c>
      <c r="F100" s="883">
        <v>30</v>
      </c>
    </row>
    <row r="101" spans="1:6" s="879" customFormat="1" ht="36">
      <c r="A101" s="883">
        <v>41</v>
      </c>
      <c r="B101" s="341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418" t="s">
        <v>708</v>
      </c>
      <c r="C105" s="883" t="s">
        <v>709</v>
      </c>
      <c r="D105" s="819" t="s">
        <v>710</v>
      </c>
      <c r="E105" s="896">
        <v>0.2</v>
      </c>
      <c r="F105" s="883">
        <v>30</v>
      </c>
    </row>
    <row r="106" spans="1:6" s="879" customFormat="1" ht="36">
      <c r="A106" s="883">
        <v>46</v>
      </c>
      <c r="B106" s="3418"/>
      <c r="C106" s="883" t="s">
        <v>711</v>
      </c>
      <c r="D106" s="819" t="s">
        <v>712</v>
      </c>
      <c r="E106" s="896">
        <v>0.2</v>
      </c>
      <c r="F106" s="883">
        <v>30</v>
      </c>
    </row>
    <row r="107" spans="1:6" s="879" customFormat="1" ht="36">
      <c r="A107" s="883">
        <v>47</v>
      </c>
      <c r="B107" s="3418" t="s">
        <v>713</v>
      </c>
      <c r="C107" s="883" t="s">
        <v>714</v>
      </c>
      <c r="D107" s="819" t="s">
        <v>715</v>
      </c>
      <c r="E107" s="896">
        <v>0.3</v>
      </c>
      <c r="F107" s="883">
        <v>50</v>
      </c>
    </row>
    <row r="108" spans="1:6" s="879" customFormat="1" ht="36">
      <c r="A108" s="883">
        <v>48</v>
      </c>
      <c r="B108" s="341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418" t="s">
        <v>724</v>
      </c>
      <c r="C111" s="883" t="s">
        <v>725</v>
      </c>
      <c r="D111" s="819" t="s">
        <v>726</v>
      </c>
      <c r="E111" s="896">
        <v>0.2</v>
      </c>
      <c r="F111" s="883">
        <v>30</v>
      </c>
    </row>
    <row r="112" spans="1:6" s="879" customFormat="1" ht="24">
      <c r="A112" s="883">
        <v>52</v>
      </c>
      <c r="B112" s="3418"/>
      <c r="C112" s="883" t="s">
        <v>727</v>
      </c>
      <c r="D112" s="819" t="s">
        <v>728</v>
      </c>
      <c r="E112" s="896">
        <v>0.2</v>
      </c>
      <c r="F112" s="883">
        <v>30</v>
      </c>
    </row>
    <row r="113" spans="1:6" s="879" customFormat="1" ht="24">
      <c r="A113" s="883">
        <v>53</v>
      </c>
      <c r="B113" s="341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418" t="s">
        <v>737</v>
      </c>
      <c r="C116" s="883" t="s">
        <v>738</v>
      </c>
      <c r="D116" s="819" t="s">
        <v>739</v>
      </c>
      <c r="E116" s="896">
        <v>0.2</v>
      </c>
      <c r="F116" s="883">
        <v>30</v>
      </c>
    </row>
    <row r="117" spans="1:6" ht="36">
      <c r="A117" s="883">
        <v>57</v>
      </c>
      <c r="B117" s="341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SUMPRODUCT((A105:A204=ROUNDDOWN('基准地价修正（地上2层）'!G3,1))*(B104:M104='基准地价修正（地上2层）'!G2)*(B105:M204))</f>
        <v>0.77569999999999995</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124" t="str">
        <f>IF(项目基本情况!B9="房地产市场价值","估价结果一览表","结果表-2")</f>
        <v>结果表-2</v>
      </c>
      <c r="B1" s="3124"/>
      <c r="C1" s="3124"/>
      <c r="D1" s="3124"/>
      <c r="E1" s="3124"/>
      <c r="F1" s="3124"/>
      <c r="G1" s="3124"/>
      <c r="H1" s="3124"/>
      <c r="I1" s="3124"/>
    </row>
    <row r="2" spans="1:9" ht="30" customHeight="1" thickTop="1">
      <c r="A2" s="3125" t="s">
        <v>1643</v>
      </c>
      <c r="B2" s="3125" t="s">
        <v>1644</v>
      </c>
      <c r="C2" s="3125" t="s">
        <v>1645</v>
      </c>
      <c r="D2" s="3125" t="str">
        <f>结果表!D116</f>
        <v>出让国有建设用地使用权价值</v>
      </c>
      <c r="E2" s="3125"/>
      <c r="F2" s="3125" t="str">
        <f>结果表!F116</f>
        <v>在建建筑物价值</v>
      </c>
      <c r="G2" s="3125"/>
      <c r="H2" s="3125" t="str">
        <f>IF(项目基本情况!B9="房地产市场价值","房地产市场价值","房地产价值")</f>
        <v>房地产价值</v>
      </c>
      <c r="I2" s="3125"/>
    </row>
    <row r="3" spans="1:9" ht="15">
      <c r="A3" s="3119"/>
      <c r="B3" s="3119"/>
      <c r="C3" s="3119"/>
      <c r="D3" s="1048" t="s">
        <v>1640</v>
      </c>
      <c r="E3" s="1048" t="s">
        <v>1646</v>
      </c>
      <c r="F3" s="1048" t="s">
        <v>1640</v>
      </c>
      <c r="G3" s="1048" t="s">
        <v>1641</v>
      </c>
      <c r="H3" s="1048" t="s">
        <v>1640</v>
      </c>
      <c r="I3" s="1048" t="s">
        <v>1641</v>
      </c>
    </row>
    <row r="4" spans="1:9" ht="45">
      <c r="A4" s="1978" t="str">
        <f>项目基本情况!S2</f>
        <v>北京市朝阳区东三环中路20、24号楼2幢商业用房房地产房地产</v>
      </c>
      <c r="B4" s="1048">
        <f>项目基本情况!C17</f>
        <v>66448.330000000016</v>
      </c>
      <c r="C4" s="1048">
        <f>项目基本情况!C18</f>
        <v>9773.2199999999993</v>
      </c>
      <c r="D4" s="1048" t="e">
        <f ca="1">结果表!D118</f>
        <v>#REF!</v>
      </c>
      <c r="E4" s="1048" t="e">
        <f ca="1">结果表!E118</f>
        <v>#REF!</v>
      </c>
      <c r="F4" s="1048" t="e">
        <f ca="1">结果表!F118</f>
        <v>#REF!</v>
      </c>
      <c r="G4" s="1048" t="e">
        <f ca="1">结果表!G118</f>
        <v>#REF!</v>
      </c>
      <c r="H4" s="1048">
        <f ca="1">结果表!H118</f>
        <v>85442</v>
      </c>
      <c r="I4" s="1048">
        <f ca="1">结果表!I118</f>
        <v>12858</v>
      </c>
    </row>
    <row r="5" spans="1:9" ht="30" customHeight="1">
      <c r="A5" s="3119" t="s">
        <v>1642</v>
      </c>
      <c r="B5" s="3119"/>
      <c r="C5" s="3119"/>
      <c r="D5" s="3120" t="e">
        <f ca="1">结果表!D119</f>
        <v>#REF!</v>
      </c>
      <c r="E5" s="3120"/>
      <c r="F5" s="3120" t="e">
        <f ca="1">结果表!F119</f>
        <v>#REF!</v>
      </c>
      <c r="G5" s="3120"/>
      <c r="H5" s="3120" t="str">
        <f ca="1">结果表!H119</f>
        <v>捌亿伍仟肆佰肆拾贰万元整</v>
      </c>
      <c r="I5" s="3120"/>
    </row>
    <row r="6" spans="1:9" ht="15.75">
      <c r="A6" s="3118" t="str">
        <f>结果表!A120</f>
        <v>估价师知悉的法定优先受偿款</v>
      </c>
      <c r="B6" s="3118"/>
      <c r="C6" s="3118"/>
      <c r="D6" s="3118">
        <f>结果表!D120</f>
        <v>0</v>
      </c>
      <c r="E6" s="3118"/>
      <c r="F6" s="3118"/>
      <c r="G6" s="3118"/>
      <c r="H6" s="3118"/>
      <c r="I6" s="3118"/>
    </row>
    <row r="7" spans="1:9" ht="15">
      <c r="A7" s="3119" t="s">
        <v>1642</v>
      </c>
      <c r="B7" s="3119"/>
      <c r="C7" s="3119"/>
      <c r="D7" s="3121" t="str">
        <f>结果表!D121</f>
        <v>零元整</v>
      </c>
      <c r="E7" s="3122"/>
      <c r="F7" s="3122"/>
      <c r="G7" s="3122"/>
      <c r="H7" s="3122"/>
      <c r="I7" s="3123"/>
    </row>
    <row r="8" spans="1:9" ht="15.75">
      <c r="A8" s="3118" t="str">
        <f>结果表!A122</f>
        <v>房地产抵押价值</v>
      </c>
      <c r="B8" s="3118"/>
      <c r="C8" s="3118"/>
      <c r="D8" s="3118">
        <f ca="1">结果表!D122</f>
        <v>85442</v>
      </c>
      <c r="E8" s="3118"/>
      <c r="F8" s="3118"/>
      <c r="G8" s="3118"/>
      <c r="H8" s="3118"/>
      <c r="I8" s="3118"/>
    </row>
    <row r="9" spans="1:9" ht="15">
      <c r="A9" s="3119" t="s">
        <v>1642</v>
      </c>
      <c r="B9" s="3119"/>
      <c r="C9" s="3119"/>
      <c r="D9" s="3120" t="str">
        <f ca="1">结果表!D123</f>
        <v>捌亿伍仟肆佰肆拾贰万元整</v>
      </c>
      <c r="E9" s="3120"/>
      <c r="F9" s="3120"/>
      <c r="G9" s="3120"/>
      <c r="H9" s="3120"/>
      <c r="I9" s="3120"/>
    </row>
    <row r="10" spans="1:9" ht="15.75">
      <c r="A10" s="3118" t="str">
        <f>结果表!A124</f>
        <v/>
      </c>
      <c r="B10" s="3118"/>
      <c r="C10" s="3118"/>
      <c r="D10" s="3118" t="str">
        <f>结果表!D124</f>
        <v>——</v>
      </c>
      <c r="E10" s="3118"/>
      <c r="F10" s="3118"/>
      <c r="G10" s="3118"/>
      <c r="H10" s="3118"/>
      <c r="I10" s="3118"/>
    </row>
    <row r="11" spans="1:9" ht="15">
      <c r="A11" s="3119" t="s">
        <v>1642</v>
      </c>
      <c r="B11" s="3119"/>
      <c r="C11" s="3119"/>
      <c r="D11" s="3120" t="e">
        <f>结果表!D125</f>
        <v>#VALUE!</v>
      </c>
      <c r="E11" s="3120"/>
      <c r="F11" s="3120"/>
      <c r="G11" s="3120"/>
      <c r="H11" s="3120"/>
      <c r="I11" s="3120"/>
    </row>
    <row r="12" spans="1:9" ht="15.75">
      <c r="A12" s="3118" t="str">
        <f>结果表!A126</f>
        <v/>
      </c>
      <c r="B12" s="3118"/>
      <c r="C12" s="3118"/>
      <c r="D12" s="3118" t="str">
        <f>结果表!D126</f>
        <v>——</v>
      </c>
      <c r="E12" s="3118"/>
      <c r="F12" s="3118"/>
      <c r="G12" s="3118"/>
      <c r="H12" s="3118"/>
      <c r="I12" s="3118"/>
    </row>
    <row r="13" spans="1:9" ht="15.75" thickBot="1">
      <c r="A13" s="3115" t="s">
        <v>1642</v>
      </c>
      <c r="B13" s="3115"/>
      <c r="C13" s="3115"/>
      <c r="D13" s="3116" t="e">
        <f>结果表!D127</f>
        <v>#VALUE!</v>
      </c>
      <c r="E13" s="3116"/>
      <c r="F13" s="3116"/>
      <c r="G13" s="3116"/>
      <c r="H13" s="3116"/>
      <c r="I13" s="3116"/>
    </row>
    <row r="14" spans="1:9" ht="15" thickTop="1">
      <c r="A14" s="3117" t="s">
        <v>1647</v>
      </c>
      <c r="B14" s="3117"/>
      <c r="C14" s="3117"/>
      <c r="D14" s="3117"/>
      <c r="E14" s="3117"/>
      <c r="F14" s="3117"/>
      <c r="G14" s="3117"/>
      <c r="H14" s="3117"/>
      <c r="I14" s="3117"/>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C26" sqref="C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7" t="s">
        <v>3006</v>
      </c>
      <c r="D1" s="3368"/>
      <c r="E1" s="3368"/>
      <c r="F1" s="3368"/>
      <c r="G1" s="3368"/>
      <c r="H1" s="3368"/>
      <c r="I1" s="3368"/>
      <c r="J1" s="3368"/>
      <c r="K1" s="3368"/>
      <c r="L1" s="3368"/>
      <c r="M1" s="3368"/>
      <c r="N1" s="3368"/>
      <c r="O1" s="3368"/>
      <c r="P1" s="3368"/>
      <c r="Q1" s="3368"/>
      <c r="R1" s="3368"/>
      <c r="S1" s="3369"/>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3373</v>
      </c>
      <c r="D17" s="555" t="s">
        <v>3374</v>
      </c>
      <c r="E17" s="555" t="s">
        <v>3375</v>
      </c>
      <c r="F17" s="555" t="s">
        <v>3376</v>
      </c>
      <c r="G17" s="555" t="s">
        <v>3377</v>
      </c>
      <c r="H17" s="555" t="s">
        <v>3378</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88">
        <v>75</v>
      </c>
      <c r="E18" s="3088">
        <v>65</v>
      </c>
      <c r="F18" s="3088">
        <v>65</v>
      </c>
      <c r="G18" s="3088">
        <v>55</v>
      </c>
      <c r="H18" s="3088">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203</v>
      </c>
      <c r="C20" s="169"/>
      <c r="D20" s="2922" t="s">
        <v>3019</v>
      </c>
      <c r="E20" s="1798"/>
      <c r="F20" s="1208">
        <f ca="1">SUMIF(INDIRECT("'"&amp;H20&amp;"'"&amp;"!A:A"),"承租人权益价值",INDIRECT("'"&amp;H20&amp;"'"&amp;"!c:c"))</f>
        <v>-199</v>
      </c>
      <c r="G20" s="1208" t="s">
        <v>3020</v>
      </c>
      <c r="H20" s="2923" t="s">
        <v>3418</v>
      </c>
      <c r="I20" s="169"/>
      <c r="J20" s="169"/>
      <c r="K20" s="169"/>
      <c r="L20" s="169"/>
      <c r="M20" s="169"/>
      <c r="N20" s="169"/>
      <c r="O20" s="169"/>
      <c r="P20" s="169"/>
      <c r="Q20" s="169"/>
      <c r="R20" s="789"/>
      <c r="S20" s="138"/>
    </row>
    <row r="21" spans="1:45" ht="15.75">
      <c r="A21" s="716" t="s">
        <v>3021</v>
      </c>
      <c r="B21" s="339">
        <f>R22</f>
        <v>9</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85" t="s">
        <v>33</v>
      </c>
      <c r="D22" s="3286"/>
      <c r="E22" s="3286"/>
      <c r="F22" s="3286"/>
      <c r="G22" s="3286"/>
      <c r="H22" s="3286"/>
      <c r="I22" s="3286"/>
      <c r="J22" s="3286"/>
      <c r="K22" s="3286"/>
      <c r="L22" s="3286"/>
      <c r="M22" s="3286"/>
      <c r="N22" s="3286"/>
      <c r="O22" s="3286"/>
      <c r="P22" s="3286"/>
      <c r="Q22" s="3366"/>
      <c r="R22" s="717">
        <f>ROUND(S22*10000/B22,0)</f>
        <v>9</v>
      </c>
      <c r="S22" s="24">
        <f>SUM(S24:S10000)</f>
        <v>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f>'比较法-商业'!C33</f>
        <v>1377.98</v>
      </c>
      <c r="C24" s="720">
        <v>1</v>
      </c>
      <c r="D24" s="721"/>
      <c r="E24" s="720">
        <v>1</v>
      </c>
      <c r="F24" s="721"/>
      <c r="G24" s="720">
        <v>1</v>
      </c>
      <c r="H24" s="721"/>
      <c r="I24" s="720">
        <v>1</v>
      </c>
      <c r="J24" s="721"/>
      <c r="K24" s="720">
        <v>1</v>
      </c>
      <c r="L24" s="721"/>
      <c r="M24" s="720">
        <v>1</v>
      </c>
      <c r="N24" s="721"/>
      <c r="O24" s="720">
        <v>1</v>
      </c>
      <c r="P24" s="721" t="s">
        <v>3415</v>
      </c>
      <c r="Q24" s="720">
        <v>1</v>
      </c>
      <c r="R24" s="722">
        <f>'比较法-商业租金'!C49</f>
        <v>12</v>
      </c>
      <c r="S24" s="720">
        <f t="shared" ref="S24:S87" si="5">ROUND(R24*B24/10000,0)</f>
        <v>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2" t="s">
        <v>3416</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3414</v>
      </c>
      <c r="Q25" s="24">
        <f>(SUMIF($17:$17,P25,$18:$18)-SUMIF($17:$17,$P$24,$18:$18)+100)/100</f>
        <v>0.65</v>
      </c>
      <c r="R25" s="717">
        <f>IF(B25="",0,ROUND($R$24*C25*E25*G25*I25*K25*M25*O25*Q25,0))</f>
        <v>8</v>
      </c>
      <c r="S25" s="362">
        <f t="shared" si="5"/>
        <v>1</v>
      </c>
    </row>
    <row r="26" spans="1:45">
      <c r="A26" s="160" t="s">
        <v>3417</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3414</v>
      </c>
      <c r="Q26" s="24">
        <f t="shared" ref="Q26:Q89" si="13">(SUMIF($17:$17,P26,$18:$18)-SUMIF($17:$17,$P$24,$18:$18)+100)/100</f>
        <v>0.65</v>
      </c>
      <c r="R26" s="717">
        <f t="shared" ref="R26:R89" si="14">IF(B26="",0,ROUND($R$24*C26*E26*G26*I26*K26*M26*O26*Q26,0))</f>
        <v>8</v>
      </c>
      <c r="S26" s="362">
        <f t="shared" si="5"/>
        <v>1</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7" sqref="F7"/>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3426</v>
      </c>
      <c r="D1" s="1825" t="s">
        <v>70</v>
      </c>
      <c r="E1" s="1826" t="s">
        <v>1388</v>
      </c>
      <c r="F1" s="1287">
        <f ca="1">J53</f>
        <v>25.87</v>
      </c>
      <c r="G1" s="1841">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10891</v>
      </c>
      <c r="C2" s="1850" t="s">
        <v>1518</v>
      </c>
      <c r="D2" s="1850"/>
      <c r="E2" s="1851"/>
      <c r="F2" s="1852"/>
      <c r="G2" s="1853"/>
      <c r="H2" s="1845"/>
      <c r="I2" s="1845"/>
      <c r="J2" s="1845"/>
      <c r="K2" s="1846"/>
      <c r="L2" s="1845"/>
      <c r="M2" s="1845"/>
    </row>
    <row r="3" spans="1:37" ht="18" customHeight="1" thickBot="1">
      <c r="A3" s="1854" t="s">
        <v>1519</v>
      </c>
      <c r="B3" s="1855">
        <f ca="1">IF(ISERROR(B2*10000/F43),0,ROUND(B2*10000/F43,0))</f>
        <v>41229</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695</v>
      </c>
      <c r="D5" s="1827" t="s">
        <v>1403</v>
      </c>
      <c r="E5" s="1297"/>
      <c r="F5" s="1298"/>
      <c r="G5" s="1856"/>
      <c r="H5" s="345">
        <v>1</v>
      </c>
      <c r="I5" s="346" t="s">
        <v>1402</v>
      </c>
      <c r="J5" s="1296">
        <f ca="1">J6+J10+J12</f>
        <v>0</v>
      </c>
      <c r="K5" s="1827" t="s">
        <v>1403</v>
      </c>
      <c r="L5" s="1297"/>
      <c r="M5" s="1298"/>
    </row>
    <row r="6" spans="1:37" ht="18" customHeight="1">
      <c r="A6" s="1295" t="s">
        <v>1035</v>
      </c>
      <c r="B6" s="3372" t="s">
        <v>1404</v>
      </c>
      <c r="C6" s="1300">
        <f ca="1">ROUND(F6*F8*F7*(1-F9)/10000,0)</f>
        <v>694</v>
      </c>
      <c r="D6" s="165" t="s">
        <v>3034</v>
      </c>
      <c r="E6" s="348" t="s">
        <v>1406</v>
      </c>
      <c r="F6" s="349">
        <f ca="1">INDIRECT("'数据-取费表'!u"&amp;$G$1)</f>
        <v>8</v>
      </c>
      <c r="G6" s="1856"/>
      <c r="H6" s="1295" t="s">
        <v>1035</v>
      </c>
      <c r="I6" s="3372" t="s">
        <v>1404</v>
      </c>
      <c r="J6" s="347">
        <f ca="1">ROUND(M6*M8*M7*(1-M9)/10000,0)</f>
        <v>0</v>
      </c>
      <c r="K6" s="165" t="s">
        <v>3033</v>
      </c>
      <c r="L6" s="348" t="s">
        <v>1406</v>
      </c>
      <c r="M6" s="349">
        <f ca="1">INDIRECT("'数据-取费表'!z"&amp;$G$1)</f>
        <v>0</v>
      </c>
    </row>
    <row r="7" spans="1:37" ht="18" customHeight="1">
      <c r="A7" s="1299"/>
      <c r="B7" s="3373"/>
      <c r="C7" s="1301"/>
      <c r="D7" s="353"/>
      <c r="E7" s="2935" t="s">
        <v>1407</v>
      </c>
      <c r="F7" s="349">
        <f ca="1">IF(INDIRECT("'数据-取费表'!ah"&amp;$G$1)="",INDIRECT("'数据-取费表'!k"&amp;$G$1),INDIRECT("'数据-取费表'!ah"&amp;$G$1))</f>
        <v>2641.59</v>
      </c>
      <c r="G7" s="1856"/>
      <c r="H7" s="350"/>
      <c r="I7" s="3373"/>
      <c r="J7" s="352"/>
      <c r="K7" s="353"/>
      <c r="L7" s="348" t="s">
        <v>1407</v>
      </c>
      <c r="M7" s="349">
        <f ca="1">F7</f>
        <v>2641.59</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0.1</v>
      </c>
      <c r="G9" s="1856"/>
      <c r="H9" s="350"/>
      <c r="I9" s="337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1501</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1004</v>
      </c>
      <c r="D14" s="2929" t="s">
        <v>1420</v>
      </c>
      <c r="E14" s="2927"/>
      <c r="F14" s="365"/>
      <c r="G14" s="1856"/>
      <c r="H14" s="1205" t="s">
        <v>1035</v>
      </c>
      <c r="I14" s="348" t="s">
        <v>1421</v>
      </c>
      <c r="J14" s="24">
        <f ca="1">C29</f>
        <v>1725</v>
      </c>
      <c r="K14" s="2934"/>
      <c r="L14" s="983"/>
      <c r="M14" s="984"/>
    </row>
    <row r="15" spans="1:37" s="1863" customFormat="1" ht="18" customHeight="1" thickBot="1">
      <c r="A15" s="1205" t="s">
        <v>1036</v>
      </c>
      <c r="B15" s="348" t="s">
        <v>1422</v>
      </c>
      <c r="C15" s="24">
        <f ca="1">ROUND(C14*F15,0)</f>
        <v>50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50</v>
      </c>
      <c r="K16" s="1341" t="s">
        <v>1427</v>
      </c>
      <c r="L16" s="2930"/>
      <c r="M16" s="1298"/>
    </row>
    <row r="17" spans="1:37" s="1863" customFormat="1" ht="18" customHeight="1">
      <c r="A17" s="1205" t="s">
        <v>1391</v>
      </c>
      <c r="B17" s="348" t="s">
        <v>1428</v>
      </c>
      <c r="C17" s="24">
        <f ca="1">ROUND(F17*(F43+INDIRECT("'数据-取费表'!S"&amp;$G$1))/10000,0)</f>
        <v>53</v>
      </c>
      <c r="D17" s="348" t="s">
        <v>1429</v>
      </c>
      <c r="E17" s="348" t="s">
        <v>1430</v>
      </c>
      <c r="F17" s="26">
        <f>'数据-取费表'!B35</f>
        <v>200</v>
      </c>
      <c r="G17" s="1859"/>
      <c r="H17" s="1205" t="s">
        <v>1035</v>
      </c>
      <c r="I17" s="348" t="s">
        <v>1431</v>
      </c>
      <c r="J17" s="24">
        <f ca="1">ROUND(IF(项目基本情况!B11="自然人",J5*M17,J18+J19+J20),1)</f>
        <v>15.4</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15</v>
      </c>
      <c r="D18" s="348" t="s">
        <v>1423</v>
      </c>
      <c r="E18" s="348" t="s">
        <v>1424</v>
      </c>
      <c r="F18" s="368">
        <f>'数据-取费表'!B36</f>
        <v>1.4999999999999999E-2</v>
      </c>
      <c r="G18" s="1859"/>
      <c r="H18" s="1205" t="s">
        <v>1034</v>
      </c>
      <c r="I18" s="348" t="s">
        <v>1435</v>
      </c>
      <c r="J18" s="24">
        <f ca="1">ROUND(J5*M18/(1+'数据-取费表'!C42),2)</f>
        <v>0</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1122</v>
      </c>
      <c r="D19" s="140" t="s">
        <v>1438</v>
      </c>
      <c r="E19" s="2933"/>
      <c r="F19" s="26"/>
      <c r="G19" s="1856"/>
      <c r="H19" s="1205" t="s">
        <v>1036</v>
      </c>
      <c r="I19" s="348" t="s">
        <v>1439</v>
      </c>
      <c r="J19" s="24">
        <f ca="1">IF(K19="按租金收入计税",ROUND(J5*M19,2),ROUND(C29*M19*0.7,2))</f>
        <v>14.49</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22</v>
      </c>
      <c r="D20" s="370" t="s">
        <v>1442</v>
      </c>
      <c r="E20" s="348" t="s">
        <v>1424</v>
      </c>
      <c r="F20" s="368">
        <f>'数据-取费表'!B37</f>
        <v>0.02</v>
      </c>
      <c r="G20" s="1859"/>
      <c r="H20" s="1205" t="s">
        <v>1390</v>
      </c>
      <c r="I20" s="165" t="s">
        <v>1443</v>
      </c>
      <c r="J20" s="25">
        <f ca="1">ROUND(M20*M21/10000,2)</f>
        <v>0.93</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388.53</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34.5</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41</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-50</v>
      </c>
      <c r="K25" s="1349" t="s">
        <v>1466</v>
      </c>
      <c r="L25" s="1350"/>
      <c r="M25" s="1351"/>
    </row>
    <row r="26" spans="1:37">
      <c r="A26" s="1205" t="s">
        <v>1034</v>
      </c>
      <c r="B26" s="348" t="s">
        <v>1467</v>
      </c>
      <c r="C26" s="24">
        <f ca="1">ROUND((C19+C20)*F26,0)</f>
        <v>400</v>
      </c>
      <c r="D26" s="370" t="s">
        <v>1468</v>
      </c>
      <c r="E26" s="359" t="s">
        <v>1469</v>
      </c>
      <c r="F26" s="358">
        <f ca="1">INDIRECT("'数据-取费表'!q"&amp;$G$1)</f>
        <v>0.35</v>
      </c>
      <c r="G26" s="1856"/>
      <c r="H26" s="345" t="s">
        <v>1032</v>
      </c>
      <c r="I26" s="346" t="s">
        <v>1470</v>
      </c>
      <c r="J26" s="347">
        <f ca="1">IF(J5&lt;&gt;0,ROUND(J25*(1-((1+M28)/(1+M26))^M27)/(M26-M28),0),0)</f>
        <v>0</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1725</v>
      </c>
      <c r="D29" s="1346"/>
      <c r="E29" s="1344"/>
      <c r="F29" s="1347"/>
      <c r="G29" s="1859"/>
      <c r="H29" s="381" t="s">
        <v>1033</v>
      </c>
      <c r="I29" s="382" t="s">
        <v>1481</v>
      </c>
      <c r="J29" s="383">
        <f ca="1">ROUND(J26/(1+F40)^F41,0)</f>
        <v>0</v>
      </c>
      <c r="K29" s="384" t="s">
        <v>1482</v>
      </c>
      <c r="L29" s="385"/>
      <c r="M29" s="386">
        <f ca="1">INDIRECT("'数据-取费表'!k"&amp;$G$1)</f>
        <v>2641.59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104</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52.5</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37.07</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14.49</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0.93</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388.53</v>
      </c>
      <c r="G35" s="1856"/>
      <c r="H35" s="746"/>
      <c r="I35" s="1865"/>
      <c r="J35" s="1866"/>
      <c r="K35" s="1867"/>
      <c r="L35" s="1864"/>
      <c r="M35" s="1864"/>
    </row>
    <row r="36" spans="1:18" ht="18" customHeight="1">
      <c r="A36" s="1356" t="s">
        <v>1039</v>
      </c>
      <c r="B36" s="348" t="s">
        <v>1451</v>
      </c>
      <c r="C36" s="24">
        <f ca="1">ROUND(C29*F36,1)</f>
        <v>34.5</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13.9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591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10891</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25.87</v>
      </c>
      <c r="G41" s="1856"/>
      <c r="H41" s="733"/>
      <c r="I41" s="1865"/>
      <c r="J41" s="1866"/>
      <c r="K41" s="752"/>
      <c r="L41" s="733"/>
      <c r="M41" s="733"/>
    </row>
    <row r="42" spans="1:18" ht="18" customHeight="1">
      <c r="A42" s="354"/>
      <c r="B42" s="355"/>
      <c r="C42" s="356"/>
      <c r="D42" s="374"/>
      <c r="E42" s="348" t="s">
        <v>1479</v>
      </c>
      <c r="F42" s="358">
        <f ca="1">INDIRECT("'数据-取费表'!v"&amp;$G$1)</f>
        <v>3.5000000000000003E-2</v>
      </c>
      <c r="G42" s="1856"/>
      <c r="H42" s="733"/>
      <c r="I42" s="1865"/>
      <c r="J42" s="1866"/>
      <c r="K42" s="752"/>
      <c r="L42" s="733"/>
      <c r="M42" s="733"/>
    </row>
    <row r="43" spans="1:18" ht="18" customHeight="1" thickBot="1">
      <c r="A43" s="381" t="s">
        <v>1033</v>
      </c>
      <c r="B43" s="382" t="s">
        <v>1489</v>
      </c>
      <c r="C43" s="383">
        <f ca="1">ROUND(C40*10000/F43,0)</f>
        <v>41229</v>
      </c>
      <c r="D43" s="384" t="s">
        <v>1490</v>
      </c>
      <c r="E43" s="385" t="s">
        <v>1491</v>
      </c>
      <c r="F43" s="386">
        <f ca="1">INDIRECT("'数据-取费表'!k"&amp;$G$1)</f>
        <v>2641.59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-11579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10891</v>
      </c>
      <c r="R47" s="1891" t="s">
        <v>1531</v>
      </c>
    </row>
    <row r="48" spans="1:18" s="1847" customFormat="1" ht="28.5" thickBot="1">
      <c r="A48" s="1364" t="s">
        <v>1135</v>
      </c>
      <c r="B48" s="346" t="s">
        <v>1402</v>
      </c>
      <c r="C48" s="2932">
        <f ca="1">C49+C53+C55</f>
        <v>0</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c r="K49" s="1894" t="s">
        <v>1537</v>
      </c>
      <c r="L49" s="1898"/>
      <c r="O49" s="1899" t="s">
        <v>1042</v>
      </c>
      <c r="P49" s="1890" t="s">
        <v>1538</v>
      </c>
      <c r="Q49" s="1891">
        <f ca="1">C29</f>
        <v>1725</v>
      </c>
      <c r="R49" s="1891" t="s">
        <v>1531</v>
      </c>
    </row>
    <row r="50" spans="1:18" s="1847" customFormat="1" ht="13.5" thickBot="1">
      <c r="A50" s="1199"/>
      <c r="B50" s="1202"/>
      <c r="C50" s="1372"/>
      <c r="D50" s="1176"/>
      <c r="E50" s="1281" t="s">
        <v>1407</v>
      </c>
      <c r="F50" s="1282">
        <f ca="1">F7</f>
        <v>2641.59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6317</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c r="I53" s="1910" t="s">
        <v>1549</v>
      </c>
      <c r="J53" s="1911">
        <f ca="1">IF(M47="住宅",J51,IF(D1="——",MIN(J51,L48),IF(D1="在建（套用方法）",MIN(J51,L48-'数据-取费表'!B24),IF(D1="土地（套用方法）",MIN(J51,L48-'数据-取费表'!B20)))))</f>
        <v>25.87</v>
      </c>
      <c r="K53" s="3370" t="s">
        <v>1550</v>
      </c>
      <c r="L53" s="3371"/>
      <c r="O53" s="1889" t="s">
        <v>1046</v>
      </c>
      <c r="P53" s="1890" t="s">
        <v>1551</v>
      </c>
      <c r="Q53" s="1891">
        <f ca="1">Q47+Q48</f>
        <v>10891</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1501</v>
      </c>
      <c r="D56" s="1919"/>
      <c r="E56" s="1920"/>
      <c r="F56" s="1912"/>
      <c r="I56" s="1921" t="s">
        <v>1556</v>
      </c>
      <c r="J56" s="1922" t="s">
        <v>3042</v>
      </c>
      <c r="K56" s="1892" t="s">
        <v>1557</v>
      </c>
      <c r="L56" s="1895" t="str">
        <f ca="1">IF(L48&lt;J51,"——",L48-J53)</f>
        <v>——</v>
      </c>
      <c r="O56" s="1889" t="s">
        <v>1040</v>
      </c>
      <c r="P56" s="1890" t="s">
        <v>1530</v>
      </c>
      <c r="Q56" s="1891">
        <f ca="1">C40+J29</f>
        <v>10891</v>
      </c>
      <c r="R56" s="1891" t="s">
        <v>1531</v>
      </c>
    </row>
    <row r="57" spans="1:18" s="1847" customFormat="1" ht="24.75" thickBot="1">
      <c r="A57" s="1923"/>
      <c r="B57" s="1173" t="s">
        <v>1480</v>
      </c>
      <c r="C57" s="283">
        <f ca="1">C29</f>
        <v>1725</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53</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15.4</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14.49</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0.93</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10891</v>
      </c>
      <c r="R62" s="1891" t="s">
        <v>1047</v>
      </c>
    </row>
    <row r="63" spans="1:18" s="1847" customFormat="1" ht="13.5" thickBot="1">
      <c r="A63" s="373"/>
      <c r="B63" s="1179"/>
      <c r="C63" s="29"/>
      <c r="D63" s="1189"/>
      <c r="E63" s="1173" t="s">
        <v>1449</v>
      </c>
      <c r="F63" s="349">
        <f t="shared" ca="1" si="0"/>
        <v>388.53</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34.5</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v>
      </c>
      <c r="D65" s="1187" t="s">
        <v>1456</v>
      </c>
      <c r="E65" s="1173" t="s">
        <v>1424</v>
      </c>
      <c r="F65" s="377">
        <f t="shared" ca="1" si="0"/>
        <v>2E-3</v>
      </c>
      <c r="I65" s="1934" t="s">
        <v>1581</v>
      </c>
      <c r="J65" s="1935">
        <v>40</v>
      </c>
      <c r="K65" s="1935">
        <v>30</v>
      </c>
      <c r="L65" s="1935">
        <v>50</v>
      </c>
      <c r="M65" s="1937">
        <v>0.02</v>
      </c>
      <c r="O65" s="1889" t="s">
        <v>1040</v>
      </c>
      <c r="P65" s="1890" t="s">
        <v>1530</v>
      </c>
      <c r="Q65" s="1891">
        <f ca="1">C40+J29</f>
        <v>10891</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-53</v>
      </c>
      <c r="D67" s="1186" t="s">
        <v>1466</v>
      </c>
      <c r="E67" s="1191"/>
      <c r="F67" s="1192"/>
      <c r="O67" s="1899" t="s">
        <v>1042</v>
      </c>
      <c r="P67" s="1890" t="s">
        <v>1564</v>
      </c>
      <c r="Q67" s="1938">
        <f ca="1">L51</f>
        <v>6317</v>
      </c>
      <c r="R67" s="1891" t="s">
        <v>1584</v>
      </c>
    </row>
    <row r="68" spans="1:18" s="1847" customFormat="1" ht="16.5" thickBot="1">
      <c r="A68" s="1170" t="s">
        <v>1032</v>
      </c>
      <c r="B68" s="1171" t="s">
        <v>1487</v>
      </c>
      <c r="C68" s="347">
        <f ca="1">ROUND(C67*(1-((1+F70)/(1+F68))^F69)/(F68-F70),0)</f>
        <v>-688</v>
      </c>
      <c r="D68" s="1188" t="s">
        <v>1471</v>
      </c>
      <c r="E68" s="1173" t="s">
        <v>1472</v>
      </c>
      <c r="F68" s="358">
        <f ca="1">F40</f>
        <v>0.06</v>
      </c>
      <c r="O68" s="1899" t="s">
        <v>1043</v>
      </c>
      <c r="P68" s="1939" t="s">
        <v>1585</v>
      </c>
      <c r="Q68" s="1891">
        <f ca="1">ROUND(Q69-Q70*Q71,0)</f>
        <v>463</v>
      </c>
      <c r="R68" s="1891" t="s">
        <v>1051</v>
      </c>
    </row>
    <row r="69" spans="1:18" s="1847" customFormat="1" ht="13.5" thickBot="1">
      <c r="A69" s="1174"/>
      <c r="B69" s="1175"/>
      <c r="C69" s="352"/>
      <c r="D69" s="1193" t="s">
        <v>1475</v>
      </c>
      <c r="E69" s="1173" t="s">
        <v>1476</v>
      </c>
      <c r="F69" s="380">
        <f ca="1">F41</f>
        <v>25.87</v>
      </c>
      <c r="O69" s="1899" t="s">
        <v>1048</v>
      </c>
      <c r="P69" s="1939" t="s">
        <v>1586</v>
      </c>
      <c r="Q69" s="1891">
        <f ca="1">C39</f>
        <v>591</v>
      </c>
      <c r="R69" s="1891" t="s">
        <v>1531</v>
      </c>
    </row>
    <row r="70" spans="1:18" s="1847" customFormat="1" ht="13.5" thickBot="1">
      <c r="A70" s="1177"/>
      <c r="B70" s="1178"/>
      <c r="C70" s="356"/>
      <c r="D70" s="1189"/>
      <c r="E70" s="1173" t="s">
        <v>1479</v>
      </c>
      <c r="F70" s="1279"/>
      <c r="O70" s="1899" t="s">
        <v>1049</v>
      </c>
      <c r="P70" s="1939" t="s">
        <v>1587</v>
      </c>
      <c r="Q70" s="1891">
        <f ca="1">C13</f>
        <v>1501</v>
      </c>
      <c r="R70" s="1891" t="s">
        <v>1531</v>
      </c>
    </row>
    <row r="71" spans="1:18" s="1847" customFormat="1" ht="13.5" thickBot="1">
      <c r="A71" s="1194" t="s">
        <v>1033</v>
      </c>
      <c r="B71" s="1195" t="s">
        <v>1489</v>
      </c>
      <c r="C71" s="383">
        <f ca="1">ROUND(C68*10000/F71,0)</f>
        <v>-2604</v>
      </c>
      <c r="D71" s="1196" t="s">
        <v>1490</v>
      </c>
      <c r="E71" s="1197" t="s">
        <v>1491</v>
      </c>
      <c r="F71" s="386">
        <f ca="1">F43</f>
        <v>2641.59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128</v>
      </c>
      <c r="D75" s="1847"/>
      <c r="E75" s="1847"/>
      <c r="F75" s="1847"/>
      <c r="K75" s="1873"/>
      <c r="L75" s="1847"/>
      <c r="O75" s="1889" t="s">
        <v>1046</v>
      </c>
      <c r="P75" s="1890" t="s">
        <v>1551</v>
      </c>
      <c r="Q75" s="1891">
        <f ca="1">Q65+Q66</f>
        <v>10891</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0.78300000000000003</v>
      </c>
    </row>
    <row r="80" spans="1:18">
      <c r="B80" s="387" t="s">
        <v>1513</v>
      </c>
      <c r="C80" s="319">
        <f ca="1">ROUND(C75/C39,3)</f>
        <v>0.217</v>
      </c>
    </row>
    <row r="81" spans="2:3">
      <c r="B81" s="315" t="s">
        <v>1514</v>
      </c>
      <c r="C81" s="283"/>
    </row>
    <row r="82" spans="2:3">
      <c r="B82" s="318" t="s">
        <v>1515</v>
      </c>
      <c r="C82" s="320">
        <f ca="1">1-C83</f>
        <v>0.86199999999999999</v>
      </c>
    </row>
    <row r="83" spans="2:3">
      <c r="B83" s="318" t="s">
        <v>1516</v>
      </c>
      <c r="C83" s="319">
        <f ca="1">ROUND(C13/C40,3)</f>
        <v>0.13800000000000001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4" t="s">
        <v>3003</v>
      </c>
    </row>
    <row r="2" spans="1:5" ht="15.75">
      <c r="A2" s="2913" t="s">
        <v>2995</v>
      </c>
      <c r="B2" s="2914">
        <f ca="1">SUMIF(B6:B13,"&lt;&gt;#ref!",B6:B13)</f>
        <v>0</v>
      </c>
      <c r="C2" s="2913" t="s">
        <v>2996</v>
      </c>
      <c r="D2" s="2913" t="s">
        <v>2997</v>
      </c>
      <c r="E2" s="2914" t="e">
        <f ca="1">SUM(E6:E13)</f>
        <v>#REF!</v>
      </c>
    </row>
    <row r="3" spans="1:5" ht="15.75">
      <c r="A3" s="2913" t="s">
        <v>2998</v>
      </c>
      <c r="B3" s="2914" t="e">
        <f ca="1">ROUND(B2*10000/E2,0)</f>
        <v>#REF!</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#REF!</v>
      </c>
      <c r="C6" s="2913" t="s">
        <v>2996</v>
      </c>
      <c r="D6" s="2915"/>
      <c r="E6" s="2578" t="e">
        <f ca="1">SUMIF(INDIRECT("'"&amp;A6&amp;"'"&amp;"!C:C"),"建筑面积",INDIRECT("'"&amp;A6&amp;"'"&amp;"!D:D"))</f>
        <v>#REF!</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424" t="s">
        <v>1150</v>
      </c>
      <c r="C1" s="3424"/>
      <c r="D1" s="3424"/>
      <c r="E1" s="3424"/>
      <c r="F1" s="3424"/>
      <c r="G1" s="3423" t="s">
        <v>1151</v>
      </c>
      <c r="H1" s="3423"/>
      <c r="I1" s="3423"/>
      <c r="J1" s="3423"/>
      <c r="K1" s="3423"/>
      <c r="L1" s="3423"/>
      <c r="N1" s="3423" t="s">
        <v>1152</v>
      </c>
      <c r="O1" s="3423"/>
      <c r="P1" s="3423"/>
      <c r="Q1" s="3423"/>
      <c r="R1" s="1450"/>
      <c r="S1" s="3423" t="s">
        <v>1153</v>
      </c>
      <c r="T1" s="3423"/>
      <c r="U1" s="3423"/>
      <c r="V1" s="3423"/>
      <c r="X1" s="3422" t="s">
        <v>1154</v>
      </c>
      <c r="Y1" s="3423"/>
      <c r="Z1" s="3423"/>
      <c r="AA1" s="3423"/>
      <c r="AB1" s="3423"/>
      <c r="AD1" s="3422" t="s">
        <v>1155</v>
      </c>
      <c r="AE1" s="3423"/>
      <c r="AF1" s="3423"/>
      <c r="AG1" s="3423"/>
      <c r="AH1" s="3423"/>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6"/>
      <c r="J3" s="2936"/>
      <c r="K3" s="2936"/>
      <c r="L3" s="2936"/>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3040</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6">
        <f>ROUND(AVERAGE(I5:I20),2)</f>
        <v>2.4900000000000002</v>
      </c>
      <c r="J4" s="2936">
        <f t="shared" ref="J4:L4" si="7">ROUND(AVERAGE(J5:J20),2)</f>
        <v>1.64</v>
      </c>
      <c r="K4" s="2936">
        <f t="shared" si="7"/>
        <v>2.78</v>
      </c>
      <c r="L4" s="2936">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3038</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4">
        <v>2017</v>
      </c>
      <c r="H5" s="1735">
        <v>4</v>
      </c>
      <c r="I5" s="2937">
        <f>ROUND(AVERAGE(I6:I20),2)</f>
        <v>2.4900000000000002</v>
      </c>
      <c r="J5" s="2937">
        <f>ROUND(AVERAGE(J6:J20),2)</f>
        <v>1.64</v>
      </c>
      <c r="K5" s="2937">
        <f>ROUND(AVERAGE(K6:K20),2)</f>
        <v>2.78</v>
      </c>
      <c r="L5" s="2937">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3039</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6"/>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5"/>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6"/>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425">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420"/>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420"/>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421"/>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419">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420"/>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420"/>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421"/>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419">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420"/>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420"/>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421"/>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426">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427"/>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427"/>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428"/>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419">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420"/>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420"/>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421"/>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419">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420">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420">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421">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419">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420">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420">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421">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419">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420">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420">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421">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419">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420">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420">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421">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419">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420">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420">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421">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419">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420">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420">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421">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419">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420">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420">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421">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419">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420">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420">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421">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419">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420">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420">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421">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419">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420">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420">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421">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64559</v>
      </c>
      <c r="C2" s="2" t="s">
        <v>133</v>
      </c>
      <c r="D2" s="244"/>
      <c r="E2" s="244"/>
      <c r="F2" s="244"/>
      <c r="G2" s="244"/>
    </row>
    <row r="3" spans="1:7" s="245" customFormat="1" ht="18" customHeight="1" thickBot="1">
      <c r="A3" s="248" t="s">
        <v>85</v>
      </c>
      <c r="B3" s="249">
        <f ca="1">ROUND(B2*10000/'数据-汇总表'!E3,0)</f>
        <v>9716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1329</v>
      </c>
      <c r="D10" s="1036">
        <f>'数据-汇总表'!E6</f>
        <v>66448.330000000016</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1329</v>
      </c>
      <c r="D19" s="1040">
        <f>'数据-汇总表'!E3</f>
        <v>66448.330000000016</v>
      </c>
      <c r="E19" s="256">
        <f>'数据-取费表'!B31</f>
        <v>200</v>
      </c>
      <c r="F19" s="276"/>
      <c r="G19" s="1" t="s">
        <v>1074</v>
      </c>
    </row>
    <row r="20" spans="1:7" s="259" customFormat="1" ht="13.5" customHeight="1">
      <c r="A20" s="952" t="s">
        <v>1057</v>
      </c>
      <c r="B20" s="255" t="s">
        <v>104</v>
      </c>
      <c r="C20" s="277">
        <f>ROUND((C5+C19)*F20,0)</f>
        <v>439</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1598</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1486</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96</v>
      </c>
      <c r="D24" s="283"/>
      <c r="E24" s="283"/>
      <c r="F24" s="284"/>
      <c r="G24" s="285" t="s">
        <v>109</v>
      </c>
    </row>
    <row r="25" spans="1:7" s="259" customFormat="1" ht="24">
      <c r="A25" s="955" t="s">
        <v>793</v>
      </c>
      <c r="B25" s="260" t="s">
        <v>1058</v>
      </c>
      <c r="C25" s="1359">
        <f ca="1">ROUND(IF('数据-取费表'!B22&lt;=1,C20*F22*'数据-取费表'!B23/2,C20*(POWER((1+F22),'数据-取费表'!B23/2)-1)),0)</f>
        <v>16</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5595</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5595</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32109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26199</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23352</v>
      </c>
      <c r="D34" s="262"/>
      <c r="E34" s="265"/>
      <c r="F34" s="302">
        <f>IF('数据-取费表'!B24=0,1,'数据-取费表'!N16)</f>
        <v>1</v>
      </c>
      <c r="G34" s="264" t="s">
        <v>116</v>
      </c>
    </row>
    <row r="35" spans="1:7" ht="13.5" customHeight="1">
      <c r="A35" s="955" t="s">
        <v>796</v>
      </c>
      <c r="B35" s="260" t="s">
        <v>60</v>
      </c>
      <c r="C35" s="265">
        <f>ROUND(C34*F35,0)</f>
        <v>1168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1329</v>
      </c>
      <c r="D37" s="262">
        <f>'数据-汇总表'!E3</f>
        <v>66448.330000000016</v>
      </c>
      <c r="E37" s="294">
        <f>'数据-取费表'!B35</f>
        <v>200</v>
      </c>
      <c r="F37" s="304"/>
      <c r="G37" s="306" t="s">
        <v>119</v>
      </c>
    </row>
    <row r="38" spans="1:7" ht="13.5" customHeight="1">
      <c r="A38" s="955" t="s">
        <v>799</v>
      </c>
      <c r="B38" s="260" t="s">
        <v>63</v>
      </c>
      <c r="C38" s="265">
        <f>ROUND(C34*F38,0)</f>
        <v>350</v>
      </c>
      <c r="D38" s="265"/>
      <c r="E38" s="265"/>
      <c r="F38" s="304">
        <f>'数据-取费表'!B36</f>
        <v>1.4999999999999999E-2</v>
      </c>
      <c r="G38" s="264" t="s">
        <v>117</v>
      </c>
    </row>
    <row r="39" spans="1:7" s="259" customFormat="1" ht="13.5" customHeight="1">
      <c r="A39" s="952" t="s">
        <v>783</v>
      </c>
      <c r="B39" s="255" t="s">
        <v>104</v>
      </c>
      <c r="C39" s="277">
        <f>ROUND(C33*F20,0)</f>
        <v>524</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947</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928</v>
      </c>
      <c r="D42" s="283"/>
      <c r="E42" s="283"/>
      <c r="F42" s="284"/>
      <c r="G42" s="3290" t="s">
        <v>121</v>
      </c>
    </row>
    <row r="43" spans="1:7" ht="13.5" customHeight="1">
      <c r="A43" s="955" t="s">
        <v>792</v>
      </c>
      <c r="B43" s="260" t="s">
        <v>1064</v>
      </c>
      <c r="C43" s="283">
        <f ca="1">ROUND(IF('数据-取费表'!B22&lt;=1,C39*F22*'数据-取费表'!B21/2,C39*(POWER((1+F22),'数据-取费表'!B21/2)-1)),0)</f>
        <v>19</v>
      </c>
      <c r="D43" s="283"/>
      <c r="E43" s="283"/>
      <c r="F43" s="284"/>
      <c r="G43" s="3291"/>
    </row>
    <row r="44" spans="1:7" ht="13.5" customHeight="1">
      <c r="A44" s="955" t="s">
        <v>793</v>
      </c>
      <c r="B44" s="260" t="s">
        <v>1066</v>
      </c>
      <c r="C44" s="283">
        <f ca="1">ROUND(IF('数据-取费表'!B22&lt;=1,C40*F22*'数据-取费表'!B21/2,C40*(POWER((1+F22),'数据-取费表'!B21/2)-1)),4)</f>
        <v>6.9999999999999999E-4</v>
      </c>
      <c r="D44" s="283"/>
      <c r="E44" s="283"/>
      <c r="F44" s="284"/>
      <c r="G44" s="3292"/>
    </row>
    <row r="45" spans="1:7" s="259" customFormat="1" ht="13.5" customHeight="1">
      <c r="A45" s="952" t="s">
        <v>786</v>
      </c>
      <c r="B45" s="289" t="s">
        <v>112</v>
      </c>
      <c r="C45" s="290">
        <f>C46</f>
        <v>6681</v>
      </c>
      <c r="D45" s="280">
        <f>C47</f>
        <v>5.0000000000000001E-3</v>
      </c>
      <c r="E45" s="281" t="s">
        <v>129</v>
      </c>
      <c r="F45" s="291"/>
      <c r="G45" s="292" t="s">
        <v>1072</v>
      </c>
    </row>
    <row r="46" spans="1:7" s="259" customFormat="1" ht="13.5" customHeight="1">
      <c r="A46" s="955" t="s">
        <v>794</v>
      </c>
      <c r="B46" s="293" t="s">
        <v>1065</v>
      </c>
      <c r="C46" s="294">
        <f>ROUND((C33+C39)*F27,0)</f>
        <v>6681</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37299</v>
      </c>
      <c r="D49" s="277"/>
      <c r="E49" s="277"/>
      <c r="F49" s="309"/>
      <c r="G49" s="279" t="s">
        <v>1073</v>
      </c>
    </row>
    <row r="50" spans="1:7" s="303" customFormat="1" ht="24">
      <c r="A50" s="952" t="s">
        <v>789</v>
      </c>
      <c r="B50" s="255" t="s">
        <v>124</v>
      </c>
      <c r="C50" s="277"/>
      <c r="D50" s="277"/>
      <c r="E50" s="277"/>
      <c r="F50" s="309">
        <f>IF('数据-取费表'!B24=0,'数据-取费表'!N16,1)</f>
        <v>0.87</v>
      </c>
      <c r="G50" s="292" t="s">
        <v>125</v>
      </c>
    </row>
    <row r="51" spans="1:7" ht="16.5" customHeight="1">
      <c r="A51" s="952" t="s">
        <v>790</v>
      </c>
      <c r="B51" s="255" t="s">
        <v>132</v>
      </c>
      <c r="C51" s="277">
        <f ca="1">ROUND(C49*F50,0)</f>
        <v>32450</v>
      </c>
      <c r="D51" s="277"/>
      <c r="E51" s="277"/>
      <c r="F51" s="309"/>
      <c r="G51" s="279" t="s">
        <v>64</v>
      </c>
    </row>
    <row r="52" spans="1:7" s="253" customFormat="1" ht="16.5" thickBot="1">
      <c r="A52" s="310" t="s">
        <v>65</v>
      </c>
      <c r="B52" s="311"/>
      <c r="C52" s="312">
        <f ca="1">C31+C51</f>
        <v>64559</v>
      </c>
      <c r="D52" s="311"/>
      <c r="E52" s="311"/>
      <c r="F52" s="311"/>
      <c r="G52" s="313"/>
    </row>
    <row r="55" spans="1:7" ht="15">
      <c r="B55" s="315" t="s">
        <v>66</v>
      </c>
      <c r="C55" s="316"/>
    </row>
    <row r="56" spans="1:7">
      <c r="B56" s="318" t="s">
        <v>67</v>
      </c>
      <c r="C56" s="319">
        <f ca="1">ROUND(C51/C52,3)</f>
        <v>0.503</v>
      </c>
    </row>
    <row r="57" spans="1:7">
      <c r="B57" s="318" t="s">
        <v>68</v>
      </c>
      <c r="C57" s="320">
        <f ca="1">1-C56</f>
        <v>0.497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28"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429" t="s">
        <v>156</v>
      </c>
      <c r="B1" s="3429"/>
      <c r="C1" s="3429"/>
      <c r="D1" s="3429"/>
      <c r="E1" s="3429"/>
      <c r="F1" s="342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430" t="s">
        <v>169</v>
      </c>
      <c r="B2" s="3430"/>
      <c r="C2" s="3430"/>
      <c r="D2" s="3430"/>
      <c r="E2" s="3430"/>
      <c r="F2" s="343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43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43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429" t="s">
        <v>871</v>
      </c>
      <c r="B1" s="342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43104</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5" sqref="A5"/>
    </sheetView>
  </sheetViews>
  <sheetFormatPr defaultRowHeight="13.5"/>
  <sheetData>
    <row r="2" spans="1:2">
      <c r="A2">
        <v>10</v>
      </c>
      <c r="B2" s="2939">
        <v>3.5000000000000003E-2</v>
      </c>
    </row>
    <row r="3" spans="1:2">
      <c r="A3">
        <f>ROUND(10*(1+B2)^15,2)</f>
        <v>16.75</v>
      </c>
    </row>
    <row r="5" spans="1:2">
      <c r="A5">
        <v>5</v>
      </c>
      <c r="B5" s="2952">
        <v>0.03</v>
      </c>
    </row>
    <row r="6" spans="1:2">
      <c r="A6">
        <f>ROUND(A5*(1+B5)^15,2)</f>
        <v>7.79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132" t="s">
        <v>1664</v>
      </c>
      <c r="B1" s="3132"/>
      <c r="C1" s="3132"/>
      <c r="D1" s="3132"/>
    </row>
    <row r="2" spans="1:4" ht="18">
      <c r="A2" s="3133" t="s">
        <v>1648</v>
      </c>
      <c r="B2" s="3133"/>
      <c r="C2" s="3133"/>
      <c r="D2" s="3133"/>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133" t="s">
        <v>1654</v>
      </c>
      <c r="B6" s="3133"/>
      <c r="C6" s="3133"/>
      <c r="D6" s="3133"/>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134" t="s">
        <v>1657</v>
      </c>
      <c r="B11" s="3126"/>
      <c r="C11" s="3126"/>
      <c r="D11" s="3126"/>
    </row>
    <row r="12" spans="1:4" ht="15.75">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1"/>
      <c r="C12" s="3131"/>
      <c r="D12" s="3131"/>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1"/>
      <c r="C13" s="3131"/>
      <c r="D13" s="3131"/>
    </row>
    <row r="14" spans="1:4" ht="15.75" customHeight="1">
      <c r="A14" s="3126" t="str">
        <f>IF(项目基本情况!B8="抵押","4.本次评估估价师所知悉的法定优先受偿款情况说明如下：","——")</f>
        <v>4.本次评估估价师所知悉的法定优先受偿款情况说明如下：</v>
      </c>
      <c r="B14" s="3131"/>
      <c r="C14" s="3131"/>
      <c r="D14" s="3131"/>
    </row>
    <row r="15" spans="1:4" ht="42" customHeight="1">
      <c r="A15" s="3126" t="str">
        <f>IF(项目基本情况!B8="抵押","（1）"&amp;CONCATENATE(项目基本情况!L20,项目基本情况!L21,项目基本情况!L22),"——")</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c r="B15" s="3126"/>
      <c r="C15" s="3126"/>
      <c r="D15" s="3126"/>
    </row>
    <row r="16" spans="1:4" ht="30" customHeight="1">
      <c r="A16" s="3128" t="s">
        <v>1658</v>
      </c>
      <c r="B16" s="3128"/>
      <c r="C16" s="3128"/>
      <c r="D16" s="3128"/>
    </row>
    <row r="17" spans="1:4" ht="144" customHeight="1">
      <c r="A17" s="3128" t="s">
        <v>1659</v>
      </c>
      <c r="B17" s="3128"/>
      <c r="C17" s="3128"/>
      <c r="D17" s="3128"/>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6"/>
      <c r="C20" s="3126"/>
      <c r="D20" s="3126"/>
    </row>
    <row r="21" spans="1:4" ht="57.75" customHeight="1">
      <c r="A21" s="31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9"/>
      <c r="C21" s="3129"/>
      <c r="D21" s="3129"/>
    </row>
    <row r="22" spans="1:4" ht="18.75" customHeight="1">
      <c r="A22" s="3130" t="s">
        <v>1660</v>
      </c>
      <c r="B22" s="3130"/>
      <c r="C22" s="3130"/>
      <c r="D22" s="3130"/>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127">
        <v>42551</v>
      </c>
      <c r="D31" s="31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I32" sqref="I32"/>
    </sheetView>
  </sheetViews>
  <sheetFormatPr defaultRowHeight="13.5"/>
  <cols>
    <col min="2" max="16" width="12.75" bestFit="1" customWidth="1"/>
    <col min="17" max="17" width="13.875" bestFit="1" customWidth="1"/>
  </cols>
  <sheetData>
    <row r="1" spans="1:19" s="2940" customFormat="1" ht="28.5" customHeight="1">
      <c r="A1" s="3433" t="s">
        <v>3055</v>
      </c>
      <c r="B1" s="3433"/>
      <c r="C1" s="3433"/>
      <c r="D1" s="3433"/>
      <c r="E1" s="3433"/>
      <c r="F1" s="3433"/>
      <c r="G1" s="3433"/>
      <c r="H1" s="3433"/>
      <c r="I1" s="3433"/>
      <c r="J1" s="3433"/>
      <c r="K1" s="3433"/>
      <c r="L1" s="3433"/>
      <c r="M1" s="3433"/>
      <c r="N1" s="3433"/>
      <c r="O1" s="3433"/>
      <c r="P1" s="3433"/>
      <c r="Q1" s="3433"/>
    </row>
    <row r="2" spans="1:19" s="2942" customFormat="1" ht="18.75" customHeight="1">
      <c r="A2" s="3434" t="s">
        <v>3056</v>
      </c>
      <c r="B2" s="2941" t="s">
        <v>3057</v>
      </c>
      <c r="C2" s="2941" t="s">
        <v>3058</v>
      </c>
      <c r="D2" s="2941" t="s">
        <v>3059</v>
      </c>
      <c r="E2" s="2941" t="s">
        <v>3060</v>
      </c>
      <c r="F2" s="2941" t="s">
        <v>3061</v>
      </c>
      <c r="G2" s="2941" t="s">
        <v>3062</v>
      </c>
      <c r="H2" s="2941" t="s">
        <v>3063</v>
      </c>
      <c r="I2" s="2941" t="s">
        <v>3064</v>
      </c>
      <c r="J2" s="2941" t="s">
        <v>3065</v>
      </c>
      <c r="K2" s="2941" t="s">
        <v>3066</v>
      </c>
      <c r="L2" s="2941" t="s">
        <v>3067</v>
      </c>
      <c r="M2" s="2941" t="s">
        <v>3068</v>
      </c>
      <c r="N2" s="2941" t="s">
        <v>3069</v>
      </c>
      <c r="O2" s="2941" t="s">
        <v>3070</v>
      </c>
      <c r="P2" s="2941" t="s">
        <v>3071</v>
      </c>
      <c r="Q2" s="3434" t="s">
        <v>3072</v>
      </c>
    </row>
    <row r="3" spans="1:19" s="2942" customFormat="1" ht="18" customHeight="1">
      <c r="A3" s="3435"/>
      <c r="B3" s="2941" t="s">
        <v>3073</v>
      </c>
      <c r="C3" s="2941" t="s">
        <v>3074</v>
      </c>
      <c r="D3" s="2941" t="s">
        <v>3075</v>
      </c>
      <c r="E3" s="2941" t="s">
        <v>3076</v>
      </c>
      <c r="F3" s="2941" t="s">
        <v>3077</v>
      </c>
      <c r="G3" s="2941" t="s">
        <v>3078</v>
      </c>
      <c r="H3" s="2941" t="s">
        <v>3079</v>
      </c>
      <c r="I3" s="2941" t="s">
        <v>3080</v>
      </c>
      <c r="J3" s="2941" t="s">
        <v>3081</v>
      </c>
      <c r="K3" s="2941" t="s">
        <v>3082</v>
      </c>
      <c r="L3" s="2941" t="s">
        <v>3083</v>
      </c>
      <c r="M3" s="2941" t="s">
        <v>3084</v>
      </c>
      <c r="N3" s="2941" t="s">
        <v>3085</v>
      </c>
      <c r="O3" s="2941" t="s">
        <v>3086</v>
      </c>
      <c r="P3" s="2941" t="s">
        <v>3087</v>
      </c>
      <c r="Q3" s="3435"/>
    </row>
    <row r="4" spans="1:19" s="2940" customFormat="1" ht="18" customHeight="1">
      <c r="A4" s="2943" t="s">
        <v>3088</v>
      </c>
      <c r="B4" s="2944">
        <f>B5+B18</f>
        <v>29476.052190000002</v>
      </c>
      <c r="C4" s="2944">
        <f t="shared" ref="C4:P4" si="0">C5+C18</f>
        <v>30920.349999500002</v>
      </c>
      <c r="D4" s="2944">
        <f t="shared" si="0"/>
        <v>32456.862699475001</v>
      </c>
      <c r="E4" s="2944">
        <f t="shared" si="0"/>
        <v>32793.210052836257</v>
      </c>
      <c r="F4" s="2944">
        <f t="shared" si="0"/>
        <v>34675.563951800563</v>
      </c>
      <c r="G4" s="2944">
        <f t="shared" si="0"/>
        <v>35046.386908881344</v>
      </c>
      <c r="H4" s="2944">
        <f t="shared" si="0"/>
        <v>37057.571542427257</v>
      </c>
      <c r="I4" s="2944">
        <f t="shared" si="0"/>
        <v>37466.403852608812</v>
      </c>
      <c r="J4" s="2944">
        <f t="shared" si="0"/>
        <v>39615.775538627218</v>
      </c>
      <c r="K4" s="2944">
        <f t="shared" si="0"/>
        <v>40066.513160602386</v>
      </c>
      <c r="L4" s="2944">
        <f t="shared" si="0"/>
        <v>42364.15608962375</v>
      </c>
      <c r="M4" s="2944">
        <f t="shared" si="0"/>
        <v>42861.09431785137</v>
      </c>
      <c r="N4" s="2944">
        <f t="shared" si="0"/>
        <v>45317.88126899465</v>
      </c>
      <c r="O4" s="2944">
        <f t="shared" si="0"/>
        <v>45865.755665615601</v>
      </c>
      <c r="P4" s="2944">
        <f t="shared" si="0"/>
        <v>48493.414110262143</v>
      </c>
      <c r="Q4" s="2944">
        <f t="shared" ref="Q4:Q6" si="1">SUM(B4:P4)</f>
        <v>574476.99134910631</v>
      </c>
    </row>
    <row r="5" spans="1:19" s="2940" customFormat="1" ht="18" customHeight="1">
      <c r="A5" s="2943" t="s">
        <v>3089</v>
      </c>
      <c r="B5" s="2944">
        <f t="shared" ref="B5:P5" si="2">B6+B10+B14</f>
        <v>29276.052190000002</v>
      </c>
      <c r="C5" s="2944">
        <f t="shared" si="2"/>
        <v>30720.349999500002</v>
      </c>
      <c r="D5" s="2944">
        <f t="shared" si="2"/>
        <v>32236.862699475001</v>
      </c>
      <c r="E5" s="2944">
        <f t="shared" si="2"/>
        <v>32573.210052836253</v>
      </c>
      <c r="F5" s="2944">
        <f t="shared" si="2"/>
        <v>34433.563951800563</v>
      </c>
      <c r="G5" s="2944">
        <f t="shared" si="2"/>
        <v>34804.386908881344</v>
      </c>
      <c r="H5" s="2944">
        <f t="shared" si="2"/>
        <v>36791.37154242726</v>
      </c>
      <c r="I5" s="2944">
        <f t="shared" si="2"/>
        <v>37200.203852608814</v>
      </c>
      <c r="J5" s="2944">
        <f t="shared" si="2"/>
        <v>39322.955538627219</v>
      </c>
      <c r="K5" s="2944">
        <f t="shared" si="2"/>
        <v>39773.693160602386</v>
      </c>
      <c r="L5" s="2944">
        <f t="shared" si="2"/>
        <v>42042.054089623751</v>
      </c>
      <c r="M5" s="2944">
        <f t="shared" si="2"/>
        <v>42538.992317851371</v>
      </c>
      <c r="N5" s="2944">
        <f t="shared" si="2"/>
        <v>44963.56906899465</v>
      </c>
      <c r="O5" s="2944">
        <f t="shared" si="2"/>
        <v>45511.443465615601</v>
      </c>
      <c r="P5" s="2944">
        <f t="shared" si="2"/>
        <v>48103.670690262144</v>
      </c>
      <c r="Q5" s="2944">
        <f t="shared" si="1"/>
        <v>570292.37952910643</v>
      </c>
    </row>
    <row r="6" spans="1:19" s="2940" customFormat="1" ht="18" customHeight="1">
      <c r="A6" s="2943" t="s">
        <v>3090</v>
      </c>
      <c r="B6" s="2945">
        <f t="shared" ref="B6:P6" si="3">B7*B8*B9*365/10000</f>
        <v>22784.4169</v>
      </c>
      <c r="C6" s="2945">
        <f t="shared" si="3"/>
        <v>23923.637745</v>
      </c>
      <c r="D6" s="2945">
        <f t="shared" si="3"/>
        <v>25119.819632250001</v>
      </c>
      <c r="E6" s="2945">
        <f t="shared" si="3"/>
        <v>25119.819632250001</v>
      </c>
      <c r="F6" s="2945">
        <f t="shared" si="3"/>
        <v>26627.008810185001</v>
      </c>
      <c r="G6" s="2945">
        <f t="shared" si="3"/>
        <v>26627.008810185001</v>
      </c>
      <c r="H6" s="2945">
        <f t="shared" si="3"/>
        <v>28224.629338796101</v>
      </c>
      <c r="I6" s="2945">
        <f t="shared" si="3"/>
        <v>28224.629338796101</v>
      </c>
      <c r="J6" s="2945">
        <f t="shared" si="3"/>
        <v>29918.10709912387</v>
      </c>
      <c r="K6" s="2945">
        <f t="shared" si="3"/>
        <v>29918.10709912387</v>
      </c>
      <c r="L6" s="2945">
        <f t="shared" si="3"/>
        <v>31713.193525071307</v>
      </c>
      <c r="M6" s="2945">
        <f t="shared" si="3"/>
        <v>31713.193525071307</v>
      </c>
      <c r="N6" s="2945">
        <f t="shared" si="3"/>
        <v>33615.985136575582</v>
      </c>
      <c r="O6" s="2945">
        <f t="shared" si="3"/>
        <v>33615.985136575582</v>
      </c>
      <c r="P6" s="2945">
        <f t="shared" si="3"/>
        <v>35632.944244770122</v>
      </c>
      <c r="Q6" s="2945">
        <f t="shared" si="1"/>
        <v>432778.48597377387</v>
      </c>
      <c r="S6" s="2946"/>
    </row>
    <row r="7" spans="1:19" s="2940" customFormat="1" ht="18" customHeight="1">
      <c r="A7" s="2947" t="s">
        <v>3091</v>
      </c>
      <c r="B7" s="2945">
        <f>[1]写字楼实际计费面积!$F$155</f>
        <v>63697</v>
      </c>
      <c r="C7" s="2945">
        <f>[1]写字楼实际计费面积!$F$155</f>
        <v>63697</v>
      </c>
      <c r="D7" s="2945">
        <f>[1]写字楼实际计费面积!$F$155</f>
        <v>63697</v>
      </c>
      <c r="E7" s="2945">
        <f>[1]写字楼实际计费面积!$F$155</f>
        <v>63697</v>
      </c>
      <c r="F7" s="2945">
        <f>[1]写字楼实际计费面积!$F$155</f>
        <v>63697</v>
      </c>
      <c r="G7" s="2945">
        <f>[1]写字楼实际计费面积!$F$155</f>
        <v>63697</v>
      </c>
      <c r="H7" s="2945">
        <f>[1]写字楼实际计费面积!$F$155</f>
        <v>63697</v>
      </c>
      <c r="I7" s="2945">
        <f>[1]写字楼实际计费面积!$F$155</f>
        <v>63697</v>
      </c>
      <c r="J7" s="2945">
        <f>[1]写字楼实际计费面积!$F$155</f>
        <v>63697</v>
      </c>
      <c r="K7" s="2945">
        <f>[1]写字楼实际计费面积!$F$155</f>
        <v>63697</v>
      </c>
      <c r="L7" s="2945">
        <f>[1]写字楼实际计费面积!$F$155</f>
        <v>63697</v>
      </c>
      <c r="M7" s="2945">
        <f>[1]写字楼实际计费面积!$F$155</f>
        <v>63697</v>
      </c>
      <c r="N7" s="2945">
        <f>[1]写字楼实际计费面积!$F$155</f>
        <v>63697</v>
      </c>
      <c r="O7" s="2945">
        <f>[1]写字楼实际计费面积!$F$155</f>
        <v>63697</v>
      </c>
      <c r="P7" s="2945">
        <f>[1]写字楼实际计费面积!$F$155</f>
        <v>63697</v>
      </c>
      <c r="Q7" s="2944"/>
      <c r="S7" s="2946"/>
    </row>
    <row r="8" spans="1:19" s="2940" customFormat="1" ht="18" customHeight="1">
      <c r="A8" s="2947" t="s">
        <v>3092</v>
      </c>
      <c r="B8" s="2945">
        <v>10</v>
      </c>
      <c r="C8" s="2945">
        <f>B8*1.05</f>
        <v>10.5</v>
      </c>
      <c r="D8" s="2945">
        <f>C8*1.05</f>
        <v>11.025</v>
      </c>
      <c r="E8" s="2945">
        <f t="shared" ref="E8:I8" si="4">D8</f>
        <v>11.025</v>
      </c>
      <c r="F8" s="2945">
        <f t="shared" ref="F8:J8" si="5">E8*1.06</f>
        <v>11.686500000000001</v>
      </c>
      <c r="G8" s="2945">
        <f t="shared" si="4"/>
        <v>11.686500000000001</v>
      </c>
      <c r="H8" s="2945">
        <f t="shared" si="5"/>
        <v>12.387690000000001</v>
      </c>
      <c r="I8" s="2945">
        <f t="shared" si="4"/>
        <v>12.387690000000001</v>
      </c>
      <c r="J8" s="2945">
        <f t="shared" si="5"/>
        <v>13.130951400000002</v>
      </c>
      <c r="K8" s="2945">
        <f t="shared" ref="K8:O8" si="6">J8</f>
        <v>13.130951400000002</v>
      </c>
      <c r="L8" s="2945">
        <f t="shared" ref="L8:P8" si="7">K8*1.06</f>
        <v>13.918808484000003</v>
      </c>
      <c r="M8" s="2945">
        <f t="shared" si="6"/>
        <v>13.918808484000003</v>
      </c>
      <c r="N8" s="2945">
        <f t="shared" si="7"/>
        <v>14.753936993040004</v>
      </c>
      <c r="O8" s="2945">
        <f t="shared" si="6"/>
        <v>14.753936993040004</v>
      </c>
      <c r="P8" s="2945">
        <f t="shared" si="7"/>
        <v>15.639173212622405</v>
      </c>
      <c r="Q8" s="2944"/>
      <c r="R8" s="2940">
        <v>12.66</v>
      </c>
      <c r="S8" s="2948"/>
    </row>
    <row r="9" spans="1:19" s="2940" customFormat="1" ht="18" customHeight="1">
      <c r="A9" s="2947" t="s">
        <v>3093</v>
      </c>
      <c r="B9" s="2949">
        <v>0.98</v>
      </c>
      <c r="C9" s="2949">
        <v>0.98</v>
      </c>
      <c r="D9" s="2949">
        <v>0.98</v>
      </c>
      <c r="E9" s="2949">
        <v>0.98</v>
      </c>
      <c r="F9" s="2949">
        <v>0.98</v>
      </c>
      <c r="G9" s="2949">
        <v>0.98</v>
      </c>
      <c r="H9" s="2949">
        <v>0.98</v>
      </c>
      <c r="I9" s="2949">
        <v>0.98</v>
      </c>
      <c r="J9" s="2949">
        <v>0.98</v>
      </c>
      <c r="K9" s="2949">
        <v>0.98</v>
      </c>
      <c r="L9" s="2949">
        <v>0.98</v>
      </c>
      <c r="M9" s="2949">
        <v>0.98</v>
      </c>
      <c r="N9" s="2949">
        <v>0.98</v>
      </c>
      <c r="O9" s="2949">
        <v>0.98</v>
      </c>
      <c r="P9" s="2949">
        <v>0.98</v>
      </c>
      <c r="Q9" s="2950"/>
    </row>
    <row r="10" spans="1:19" s="2940" customFormat="1" ht="18" customHeight="1">
      <c r="A10" s="2943" t="s">
        <v>3094</v>
      </c>
      <c r="B10" s="2944">
        <f t="shared" ref="B10:P10" si="8">B11*B12*B13*365/10000</f>
        <v>6101.5392899999997</v>
      </c>
      <c r="C10" s="2944">
        <f t="shared" si="8"/>
        <v>6406.6162544999997</v>
      </c>
      <c r="D10" s="2944">
        <f t="shared" si="8"/>
        <v>6726.947067225</v>
      </c>
      <c r="E10" s="2944">
        <f t="shared" si="8"/>
        <v>7063.2944205862495</v>
      </c>
      <c r="F10" s="2944">
        <f t="shared" si="8"/>
        <v>7416.4591416155636</v>
      </c>
      <c r="G10" s="2944">
        <f t="shared" si="8"/>
        <v>7787.2820986963425</v>
      </c>
      <c r="H10" s="2944">
        <f t="shared" si="8"/>
        <v>8176.6462036311596</v>
      </c>
      <c r="I10" s="2944">
        <f t="shared" si="8"/>
        <v>8585.4785138127172</v>
      </c>
      <c r="J10" s="2944">
        <f t="shared" si="8"/>
        <v>9014.7524395033524</v>
      </c>
      <c r="K10" s="2944">
        <f t="shared" si="8"/>
        <v>9465.4900614785201</v>
      </c>
      <c r="L10" s="2944">
        <f t="shared" si="8"/>
        <v>9938.7645645524481</v>
      </c>
      <c r="M10" s="2944">
        <f t="shared" si="8"/>
        <v>10435.702792780068</v>
      </c>
      <c r="N10" s="2944">
        <f t="shared" si="8"/>
        <v>10957.48793241907</v>
      </c>
      <c r="O10" s="2944">
        <f t="shared" si="8"/>
        <v>11505.362329040025</v>
      </c>
      <c r="P10" s="2944">
        <f t="shared" si="8"/>
        <v>12080.630445492026</v>
      </c>
      <c r="Q10" s="2944">
        <f>SUM(B10:P10)</f>
        <v>131662.45355533253</v>
      </c>
      <c r="S10" s="2946"/>
    </row>
    <row r="11" spans="1:19" s="2940" customFormat="1" ht="18" customHeight="1">
      <c r="A11" s="2947" t="s">
        <v>3091</v>
      </c>
      <c r="B11" s="2945">
        <f>[1]商业实际计费面积!$C$49+8000</f>
        <v>15507</v>
      </c>
      <c r="C11" s="2945">
        <f>[1]商业实际计费面积!$C$49+8000</f>
        <v>15507</v>
      </c>
      <c r="D11" s="2945">
        <f>[1]商业实际计费面积!$C$49+8000</f>
        <v>15507</v>
      </c>
      <c r="E11" s="2945">
        <f>[1]商业实际计费面积!$C$49+8000</f>
        <v>15507</v>
      </c>
      <c r="F11" s="2945">
        <f>[1]商业实际计费面积!$C$49+8000</f>
        <v>15507</v>
      </c>
      <c r="G11" s="2945">
        <f>[1]商业实际计费面积!$C$49+8000</f>
        <v>15507</v>
      </c>
      <c r="H11" s="2945">
        <f>[1]商业实际计费面积!$C$49+8000</f>
        <v>15507</v>
      </c>
      <c r="I11" s="2945">
        <f>[1]商业实际计费面积!$C$49+8000</f>
        <v>15507</v>
      </c>
      <c r="J11" s="2945">
        <f>[1]商业实际计费面积!$C$49+8000</f>
        <v>15507</v>
      </c>
      <c r="K11" s="2945">
        <f>[1]商业实际计费面积!$C$49+8000</f>
        <v>15507</v>
      </c>
      <c r="L11" s="2945">
        <f>[1]商业实际计费面积!$C$49+8000</f>
        <v>15507</v>
      </c>
      <c r="M11" s="2945">
        <f>[1]商业实际计费面积!$C$49+8000</f>
        <v>15507</v>
      </c>
      <c r="N11" s="2945">
        <f>[1]商业实际计费面积!$C$49+8000</f>
        <v>15507</v>
      </c>
      <c r="O11" s="2945">
        <f>[1]商业实际计费面积!$C$49+8000</f>
        <v>15507</v>
      </c>
      <c r="P11" s="2945">
        <f>[1]商业实际计费面积!$C$49+8000</f>
        <v>15507</v>
      </c>
      <c r="Q11" s="2944"/>
      <c r="S11" s="2946"/>
    </row>
    <row r="12" spans="1:19" s="2940" customFormat="1" ht="18" customHeight="1">
      <c r="A12" s="2947" t="s">
        <v>3095</v>
      </c>
      <c r="B12" s="2945">
        <v>11</v>
      </c>
      <c r="C12" s="2945">
        <f t="shared" ref="C12:P12" si="9">B12*1.05</f>
        <v>11.55</v>
      </c>
      <c r="D12" s="2945">
        <f t="shared" si="9"/>
        <v>12.127500000000001</v>
      </c>
      <c r="E12" s="2945">
        <f t="shared" si="9"/>
        <v>12.733875000000001</v>
      </c>
      <c r="F12" s="2945">
        <f t="shared" si="9"/>
        <v>13.370568750000002</v>
      </c>
      <c r="G12" s="2945">
        <f t="shared" si="9"/>
        <v>14.039097187500003</v>
      </c>
      <c r="H12" s="2945">
        <f t="shared" si="9"/>
        <v>14.741052046875003</v>
      </c>
      <c r="I12" s="2945">
        <f t="shared" si="9"/>
        <v>15.478104649218754</v>
      </c>
      <c r="J12" s="2945">
        <f t="shared" si="9"/>
        <v>16.25200988167969</v>
      </c>
      <c r="K12" s="2945">
        <f t="shared" si="9"/>
        <v>17.064610375763674</v>
      </c>
      <c r="L12" s="2945">
        <f t="shared" si="9"/>
        <v>17.917840894551858</v>
      </c>
      <c r="M12" s="2945">
        <f t="shared" si="9"/>
        <v>18.813732939279451</v>
      </c>
      <c r="N12" s="2945">
        <f t="shared" si="9"/>
        <v>19.754419586243422</v>
      </c>
      <c r="O12" s="2945">
        <f t="shared" si="9"/>
        <v>20.742140565555594</v>
      </c>
      <c r="P12" s="2945">
        <f t="shared" si="9"/>
        <v>21.779247593833375</v>
      </c>
      <c r="Q12" s="2944"/>
      <c r="R12" s="2940">
        <v>15.82</v>
      </c>
    </row>
    <row r="13" spans="1:19" s="2940" customFormat="1" ht="18" customHeight="1">
      <c r="A13" s="2947" t="s">
        <v>3093</v>
      </c>
      <c r="B13" s="2949">
        <v>0.98</v>
      </c>
      <c r="C13" s="2949">
        <v>0.98</v>
      </c>
      <c r="D13" s="2949">
        <v>0.98</v>
      </c>
      <c r="E13" s="2949">
        <v>0.98</v>
      </c>
      <c r="F13" s="2949">
        <v>0.98</v>
      </c>
      <c r="G13" s="2949">
        <v>0.98</v>
      </c>
      <c r="H13" s="2949">
        <v>0.98</v>
      </c>
      <c r="I13" s="2949">
        <v>0.98</v>
      </c>
      <c r="J13" s="2949">
        <v>0.98</v>
      </c>
      <c r="K13" s="2949">
        <v>0.98</v>
      </c>
      <c r="L13" s="2949">
        <v>0.98</v>
      </c>
      <c r="M13" s="2949">
        <v>0.98</v>
      </c>
      <c r="N13" s="2949">
        <v>0.98</v>
      </c>
      <c r="O13" s="2949">
        <v>0.98</v>
      </c>
      <c r="P13" s="2949">
        <v>0.98</v>
      </c>
      <c r="Q13" s="2950"/>
    </row>
    <row r="14" spans="1:19" s="2940" customFormat="1" ht="18" customHeight="1">
      <c r="A14" s="2943" t="s">
        <v>3096</v>
      </c>
      <c r="B14" s="2944">
        <f t="shared" ref="B14:P14" si="10">B15*B16*B17*12/10000</f>
        <v>390.096</v>
      </c>
      <c r="C14" s="2944">
        <f t="shared" si="10"/>
        <v>390.096</v>
      </c>
      <c r="D14" s="2944">
        <f t="shared" si="10"/>
        <v>390.096</v>
      </c>
      <c r="E14" s="2944">
        <f t="shared" si="10"/>
        <v>390.096</v>
      </c>
      <c r="F14" s="2944">
        <f t="shared" si="10"/>
        <v>390.096</v>
      </c>
      <c r="G14" s="2944">
        <f t="shared" si="10"/>
        <v>390.096</v>
      </c>
      <c r="H14" s="2944">
        <f t="shared" si="10"/>
        <v>390.096</v>
      </c>
      <c r="I14" s="2944">
        <f t="shared" si="10"/>
        <v>390.096</v>
      </c>
      <c r="J14" s="2944">
        <f t="shared" si="10"/>
        <v>390.096</v>
      </c>
      <c r="K14" s="2944">
        <f t="shared" si="10"/>
        <v>390.096</v>
      </c>
      <c r="L14" s="2944">
        <f t="shared" si="10"/>
        <v>390.096</v>
      </c>
      <c r="M14" s="2944">
        <f t="shared" si="10"/>
        <v>390.096</v>
      </c>
      <c r="N14" s="2944">
        <f t="shared" si="10"/>
        <v>390.096</v>
      </c>
      <c r="O14" s="2944">
        <f t="shared" si="10"/>
        <v>390.096</v>
      </c>
      <c r="P14" s="2944">
        <f t="shared" si="10"/>
        <v>390.096</v>
      </c>
      <c r="Q14" s="2944">
        <f>SUM(B14:P14)</f>
        <v>5851.4399999999987</v>
      </c>
      <c r="S14" s="2946"/>
    </row>
    <row r="15" spans="1:19" s="2940" customFormat="1" ht="18" customHeight="1">
      <c r="A15" s="2947" t="s">
        <v>3097</v>
      </c>
      <c r="B15" s="2945">
        <v>301</v>
      </c>
      <c r="C15" s="2945">
        <v>301</v>
      </c>
      <c r="D15" s="2945">
        <v>301</v>
      </c>
      <c r="E15" s="2945">
        <v>301</v>
      </c>
      <c r="F15" s="2945">
        <v>301</v>
      </c>
      <c r="G15" s="2945">
        <v>301</v>
      </c>
      <c r="H15" s="2945">
        <v>301</v>
      </c>
      <c r="I15" s="2945">
        <v>301</v>
      </c>
      <c r="J15" s="2945">
        <v>301</v>
      </c>
      <c r="K15" s="2945">
        <v>301</v>
      </c>
      <c r="L15" s="2945">
        <v>301</v>
      </c>
      <c r="M15" s="2945">
        <v>301</v>
      </c>
      <c r="N15" s="2945">
        <v>301</v>
      </c>
      <c r="O15" s="2945">
        <v>301</v>
      </c>
      <c r="P15" s="2945">
        <v>301</v>
      </c>
      <c r="Q15" s="2944"/>
    </row>
    <row r="16" spans="1:19" s="2940" customFormat="1" ht="18" customHeight="1">
      <c r="A16" s="2947" t="s">
        <v>3098</v>
      </c>
      <c r="B16" s="2945">
        <v>1200</v>
      </c>
      <c r="C16" s="2945">
        <v>1200</v>
      </c>
      <c r="D16" s="2945">
        <v>1200</v>
      </c>
      <c r="E16" s="2945">
        <v>1200</v>
      </c>
      <c r="F16" s="2945">
        <v>1200</v>
      </c>
      <c r="G16" s="2945">
        <v>1200</v>
      </c>
      <c r="H16" s="2945">
        <v>1200</v>
      </c>
      <c r="I16" s="2945">
        <v>1200</v>
      </c>
      <c r="J16" s="2945">
        <v>1200</v>
      </c>
      <c r="K16" s="2945">
        <v>1200</v>
      </c>
      <c r="L16" s="2945">
        <v>1200</v>
      </c>
      <c r="M16" s="2945">
        <v>1200</v>
      </c>
      <c r="N16" s="2945">
        <v>1200</v>
      </c>
      <c r="O16" s="2945">
        <v>1200</v>
      </c>
      <c r="P16" s="2945">
        <v>1200</v>
      </c>
      <c r="Q16" s="2944"/>
      <c r="R16" s="2940">
        <f>ROUND(1200/35/30,2)</f>
        <v>1.1399999999999999</v>
      </c>
    </row>
    <row r="17" spans="1:256" s="2940" customFormat="1" ht="18" customHeight="1">
      <c r="A17" s="2947" t="s">
        <v>3093</v>
      </c>
      <c r="B17" s="2949">
        <v>0.9</v>
      </c>
      <c r="C17" s="2949">
        <v>0.9</v>
      </c>
      <c r="D17" s="2949">
        <v>0.9</v>
      </c>
      <c r="E17" s="2949">
        <v>0.9</v>
      </c>
      <c r="F17" s="2949">
        <v>0.9</v>
      </c>
      <c r="G17" s="2949">
        <v>0.9</v>
      </c>
      <c r="H17" s="2949">
        <v>0.9</v>
      </c>
      <c r="I17" s="2949">
        <v>0.9</v>
      </c>
      <c r="J17" s="2949">
        <v>0.9</v>
      </c>
      <c r="K17" s="2949">
        <v>0.9</v>
      </c>
      <c r="L17" s="2949">
        <v>0.9</v>
      </c>
      <c r="M17" s="2949">
        <v>0.9</v>
      </c>
      <c r="N17" s="2949">
        <v>0.9</v>
      </c>
      <c r="O17" s="2949">
        <v>0.9</v>
      </c>
      <c r="P17" s="2949">
        <v>0.9</v>
      </c>
      <c r="Q17" s="2950"/>
    </row>
    <row r="18" spans="1:256" s="2942" customFormat="1" ht="18" customHeight="1">
      <c r="A18" s="2943" t="s">
        <v>3099</v>
      </c>
      <c r="B18" s="2944">
        <v>200</v>
      </c>
      <c r="C18" s="2944">
        <v>200</v>
      </c>
      <c r="D18" s="2944">
        <f t="shared" ref="D18:H18" si="11">C18*1.1</f>
        <v>220.00000000000003</v>
      </c>
      <c r="E18" s="2944">
        <f t="shared" ref="E18:I18" si="12">D18</f>
        <v>220.00000000000003</v>
      </c>
      <c r="F18" s="2944">
        <f t="shared" si="11"/>
        <v>242.00000000000006</v>
      </c>
      <c r="G18" s="2944">
        <f t="shared" si="12"/>
        <v>242.00000000000006</v>
      </c>
      <c r="H18" s="2944">
        <f t="shared" si="11"/>
        <v>266.2000000000001</v>
      </c>
      <c r="I18" s="2944">
        <f t="shared" si="12"/>
        <v>266.2000000000001</v>
      </c>
      <c r="J18" s="2944">
        <f t="shared" ref="J18:N18" si="13">I18*1.1</f>
        <v>292.82000000000016</v>
      </c>
      <c r="K18" s="2944">
        <f t="shared" ref="K18:O18" si="14">J18</f>
        <v>292.82000000000016</v>
      </c>
      <c r="L18" s="2944">
        <f t="shared" si="13"/>
        <v>322.1020000000002</v>
      </c>
      <c r="M18" s="2944">
        <f t="shared" si="14"/>
        <v>322.1020000000002</v>
      </c>
      <c r="N18" s="2944">
        <f t="shared" si="13"/>
        <v>354.31220000000025</v>
      </c>
      <c r="O18" s="2944">
        <f t="shared" si="14"/>
        <v>354.31220000000025</v>
      </c>
      <c r="P18" s="2944">
        <f>O18*1.1</f>
        <v>389.7434200000003</v>
      </c>
      <c r="Q18" s="2944">
        <f>SUM(B18:P18)</f>
        <v>4184.6118200000019</v>
      </c>
    </row>
    <row r="19" spans="1:256" ht="18" customHeight="1">
      <c r="A19" s="2951" t="s">
        <v>3100</v>
      </c>
      <c r="B19" s="2940"/>
      <c r="C19" s="2940"/>
      <c r="D19" s="2940"/>
      <c r="E19" s="2940"/>
      <c r="F19" s="2940"/>
      <c r="G19" s="2940"/>
      <c r="H19" s="2940"/>
      <c r="I19" s="2940"/>
      <c r="J19" s="2940"/>
      <c r="K19" s="2940"/>
      <c r="L19" s="2940"/>
      <c r="M19" s="2940"/>
      <c r="N19" s="2940"/>
      <c r="O19" s="2940"/>
      <c r="P19" s="2940"/>
      <c r="Q19" s="2940"/>
      <c r="R19" s="2940"/>
      <c r="S19" s="2940"/>
      <c r="T19" s="2940"/>
      <c r="U19" s="2940"/>
      <c r="V19" s="2940"/>
      <c r="W19" s="2940"/>
      <c r="X19" s="2940"/>
      <c r="Y19" s="2940"/>
      <c r="Z19" s="2940"/>
      <c r="AA19" s="2940"/>
      <c r="AB19" s="2940"/>
      <c r="AC19" s="2940"/>
      <c r="AD19" s="2940"/>
      <c r="AE19" s="2940"/>
      <c r="AF19" s="2940"/>
      <c r="AG19" s="2940"/>
      <c r="AH19" s="2940"/>
      <c r="AI19" s="2940"/>
      <c r="AJ19" s="2940"/>
      <c r="AK19" s="2940"/>
      <c r="AL19" s="2940"/>
      <c r="AM19" s="2940"/>
      <c r="AN19" s="2940"/>
      <c r="AO19" s="2940"/>
      <c r="AP19" s="2940"/>
      <c r="AQ19" s="2940"/>
      <c r="AR19" s="2940"/>
      <c r="AS19" s="2940"/>
      <c r="AT19" s="2940"/>
      <c r="AU19" s="2940"/>
      <c r="AV19" s="2940"/>
      <c r="AW19" s="2940"/>
      <c r="AX19" s="2940"/>
      <c r="AY19" s="2940"/>
      <c r="AZ19" s="2940"/>
      <c r="BA19" s="2940"/>
      <c r="BB19" s="2940"/>
      <c r="BC19" s="2940"/>
      <c r="BD19" s="2940"/>
      <c r="BE19" s="2940"/>
      <c r="BF19" s="2940"/>
      <c r="BG19" s="2940"/>
      <c r="BH19" s="2940"/>
      <c r="BI19" s="2940"/>
      <c r="BJ19" s="2940"/>
      <c r="BK19" s="2940"/>
      <c r="BL19" s="2940"/>
      <c r="BM19" s="2940"/>
      <c r="BN19" s="2940"/>
      <c r="BO19" s="2940"/>
      <c r="BP19" s="2940"/>
      <c r="BQ19" s="2940"/>
      <c r="BR19" s="2940"/>
      <c r="BS19" s="2940"/>
      <c r="BT19" s="2940"/>
      <c r="BU19" s="2940"/>
      <c r="BV19" s="2940"/>
      <c r="BW19" s="2940"/>
      <c r="BX19" s="2940"/>
      <c r="BY19" s="2940"/>
      <c r="BZ19" s="2940"/>
      <c r="CA19" s="2940"/>
      <c r="CB19" s="2940"/>
      <c r="CC19" s="2940"/>
      <c r="CD19" s="2940"/>
      <c r="CE19" s="2940"/>
      <c r="CF19" s="2940"/>
      <c r="CG19" s="2940"/>
      <c r="CH19" s="2940"/>
      <c r="CI19" s="2940"/>
      <c r="CJ19" s="2940"/>
      <c r="CK19" s="2940"/>
      <c r="CL19" s="2940"/>
      <c r="CM19" s="2940"/>
      <c r="CN19" s="2940"/>
      <c r="CO19" s="2940"/>
      <c r="CP19" s="2940"/>
      <c r="CQ19" s="2940"/>
      <c r="CR19" s="2940"/>
      <c r="CS19" s="2940"/>
      <c r="CT19" s="2940"/>
      <c r="CU19" s="2940"/>
      <c r="CV19" s="2940"/>
      <c r="CW19" s="2940"/>
      <c r="CX19" s="2940"/>
      <c r="CY19" s="2940"/>
      <c r="CZ19" s="2940"/>
      <c r="DA19" s="2940"/>
      <c r="DB19" s="2940"/>
      <c r="DC19" s="2940"/>
      <c r="DD19" s="2940"/>
      <c r="DE19" s="2940"/>
      <c r="DF19" s="2940"/>
      <c r="DG19" s="2940"/>
      <c r="DH19" s="2940"/>
      <c r="DI19" s="2940"/>
      <c r="DJ19" s="2940"/>
      <c r="DK19" s="2940"/>
      <c r="DL19" s="2940"/>
      <c r="DM19" s="2940"/>
      <c r="DN19" s="2940"/>
      <c r="DO19" s="2940"/>
      <c r="DP19" s="2940"/>
      <c r="DQ19" s="2940"/>
      <c r="DR19" s="2940"/>
      <c r="DS19" s="2940"/>
      <c r="DT19" s="2940"/>
      <c r="DU19" s="2940"/>
      <c r="DV19" s="2940"/>
      <c r="DW19" s="2940"/>
      <c r="DX19" s="2940"/>
      <c r="DY19" s="2940"/>
      <c r="DZ19" s="2940"/>
      <c r="EA19" s="2940"/>
      <c r="EB19" s="2940"/>
      <c r="EC19" s="2940"/>
      <c r="ED19" s="2940"/>
      <c r="EE19" s="2940"/>
      <c r="EF19" s="2940"/>
      <c r="EG19" s="2940"/>
      <c r="EH19" s="2940"/>
      <c r="EI19" s="2940"/>
      <c r="EJ19" s="2940"/>
      <c r="EK19" s="2940"/>
      <c r="EL19" s="2940"/>
      <c r="EM19" s="2940"/>
      <c r="EN19" s="2940"/>
      <c r="EO19" s="2940"/>
      <c r="EP19" s="2940"/>
      <c r="EQ19" s="2940"/>
      <c r="ER19" s="2940"/>
      <c r="ES19" s="2940"/>
      <c r="ET19" s="2940"/>
      <c r="EU19" s="2940"/>
      <c r="EV19" s="2940"/>
      <c r="EW19" s="2940"/>
      <c r="EX19" s="2940"/>
      <c r="EY19" s="2940"/>
      <c r="EZ19" s="2940"/>
      <c r="FA19" s="2940"/>
      <c r="FB19" s="2940"/>
      <c r="FC19" s="2940"/>
      <c r="FD19" s="2940"/>
      <c r="FE19" s="2940"/>
      <c r="FF19" s="2940"/>
      <c r="FG19" s="2940"/>
      <c r="FH19" s="2940"/>
      <c r="FI19" s="2940"/>
      <c r="FJ19" s="2940"/>
      <c r="FK19" s="2940"/>
      <c r="FL19" s="2940"/>
      <c r="FM19" s="2940"/>
      <c r="FN19" s="2940"/>
      <c r="FO19" s="2940"/>
      <c r="FP19" s="2940"/>
      <c r="FQ19" s="2940"/>
      <c r="FR19" s="2940"/>
      <c r="FS19" s="2940"/>
      <c r="FT19" s="2940"/>
      <c r="FU19" s="2940"/>
      <c r="FV19" s="2940"/>
      <c r="FW19" s="2940"/>
      <c r="FX19" s="2940"/>
      <c r="FY19" s="2940"/>
      <c r="FZ19" s="2940"/>
      <c r="GA19" s="2940"/>
      <c r="GB19" s="2940"/>
      <c r="GC19" s="2940"/>
      <c r="GD19" s="2940"/>
      <c r="GE19" s="2940"/>
      <c r="GF19" s="2940"/>
      <c r="GG19" s="2940"/>
      <c r="GH19" s="2940"/>
      <c r="GI19" s="2940"/>
      <c r="GJ19" s="2940"/>
      <c r="GK19" s="2940"/>
      <c r="GL19" s="2940"/>
      <c r="GM19" s="2940"/>
      <c r="GN19" s="2940"/>
      <c r="GO19" s="2940"/>
      <c r="GP19" s="2940"/>
      <c r="GQ19" s="2940"/>
      <c r="GR19" s="2940"/>
      <c r="GS19" s="2940"/>
      <c r="GT19" s="2940"/>
      <c r="GU19" s="2940"/>
      <c r="GV19" s="2940"/>
      <c r="GW19" s="2940"/>
      <c r="GX19" s="2940"/>
      <c r="GY19" s="2940"/>
      <c r="GZ19" s="2940"/>
      <c r="HA19" s="2940"/>
      <c r="HB19" s="2940"/>
      <c r="HC19" s="2940"/>
      <c r="HD19" s="2940"/>
      <c r="HE19" s="2940"/>
      <c r="HF19" s="2940"/>
      <c r="HG19" s="2940"/>
      <c r="HH19" s="2940"/>
      <c r="HI19" s="2940"/>
      <c r="HJ19" s="2940"/>
      <c r="HK19" s="2940"/>
      <c r="HL19" s="2940"/>
      <c r="HM19" s="2940"/>
      <c r="HN19" s="2940"/>
      <c r="HO19" s="2940"/>
      <c r="HP19" s="2940"/>
      <c r="HQ19" s="2940"/>
      <c r="HR19" s="2940"/>
      <c r="HS19" s="2940"/>
      <c r="HT19" s="2940"/>
      <c r="HU19" s="2940"/>
      <c r="HV19" s="2940"/>
      <c r="HW19" s="2940"/>
      <c r="HX19" s="2940"/>
      <c r="HY19" s="2940"/>
      <c r="HZ19" s="2940"/>
      <c r="IA19" s="2940"/>
      <c r="IB19" s="2940"/>
      <c r="IC19" s="2940"/>
      <c r="ID19" s="2940"/>
      <c r="IE19" s="2940"/>
      <c r="IF19" s="2940"/>
      <c r="IG19" s="2940"/>
      <c r="IH19" s="2940"/>
      <c r="II19" s="2940"/>
      <c r="IJ19" s="2940"/>
      <c r="IK19" s="2940"/>
      <c r="IL19" s="2940"/>
      <c r="IM19" s="2940"/>
      <c r="IN19" s="2940"/>
      <c r="IO19" s="2940"/>
      <c r="IP19" s="2940"/>
      <c r="IQ19" s="2940"/>
      <c r="IR19" s="2940"/>
      <c r="IS19" s="2940"/>
      <c r="IT19" s="2940"/>
      <c r="IU19" s="2940"/>
      <c r="IV19" s="2940"/>
    </row>
    <row r="20" spans="1:256" ht="18" customHeight="1">
      <c r="A20" s="2951" t="s">
        <v>3101</v>
      </c>
      <c r="B20" s="2940"/>
      <c r="C20" s="2940"/>
      <c r="D20" s="2940"/>
      <c r="E20" s="2940"/>
      <c r="F20" s="2940"/>
      <c r="G20" s="2940"/>
      <c r="H20" s="2940"/>
      <c r="I20" s="2940"/>
      <c r="J20" s="2940"/>
      <c r="K20" s="2940"/>
      <c r="L20" s="2940"/>
      <c r="M20" s="2940"/>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c r="AP20" s="2940"/>
      <c r="AQ20" s="2940"/>
      <c r="AR20" s="2940"/>
      <c r="AS20" s="2940"/>
      <c r="AT20" s="2940"/>
      <c r="AU20" s="2940"/>
      <c r="AV20" s="2940"/>
      <c r="AW20" s="2940"/>
      <c r="AX20" s="2940"/>
      <c r="AY20" s="2940"/>
      <c r="AZ20" s="2940"/>
      <c r="BA20" s="2940"/>
      <c r="BB20" s="2940"/>
      <c r="BC20" s="2940"/>
      <c r="BD20" s="2940"/>
      <c r="BE20" s="2940"/>
      <c r="BF20" s="2940"/>
      <c r="BG20" s="2940"/>
      <c r="BH20" s="2940"/>
      <c r="BI20" s="2940"/>
      <c r="BJ20" s="2940"/>
      <c r="BK20" s="2940"/>
      <c r="BL20" s="2940"/>
      <c r="BM20" s="2940"/>
      <c r="BN20" s="2940"/>
      <c r="BO20" s="2940"/>
      <c r="BP20" s="2940"/>
      <c r="BQ20" s="2940"/>
      <c r="BR20" s="2940"/>
      <c r="BS20" s="2940"/>
      <c r="BT20" s="2940"/>
      <c r="BU20" s="2940"/>
      <c r="BV20" s="2940"/>
      <c r="BW20" s="2940"/>
      <c r="BX20" s="2940"/>
      <c r="BY20" s="2940"/>
      <c r="BZ20" s="2940"/>
      <c r="CA20" s="2940"/>
      <c r="CB20" s="2940"/>
      <c r="CC20" s="2940"/>
      <c r="CD20" s="2940"/>
      <c r="CE20" s="2940"/>
      <c r="CF20" s="2940"/>
      <c r="CG20" s="2940"/>
      <c r="CH20" s="2940"/>
      <c r="CI20" s="2940"/>
      <c r="CJ20" s="2940"/>
      <c r="CK20" s="2940"/>
      <c r="CL20" s="2940"/>
      <c r="CM20" s="2940"/>
      <c r="CN20" s="2940"/>
      <c r="CO20" s="2940"/>
      <c r="CP20" s="2940"/>
      <c r="CQ20" s="2940"/>
      <c r="CR20" s="2940"/>
      <c r="CS20" s="2940"/>
      <c r="CT20" s="2940"/>
      <c r="CU20" s="2940"/>
      <c r="CV20" s="2940"/>
      <c r="CW20" s="2940"/>
      <c r="CX20" s="2940"/>
      <c r="CY20" s="2940"/>
      <c r="CZ20" s="2940"/>
      <c r="DA20" s="2940"/>
      <c r="DB20" s="2940"/>
      <c r="DC20" s="2940"/>
      <c r="DD20" s="2940"/>
      <c r="DE20" s="2940"/>
      <c r="DF20" s="2940"/>
      <c r="DG20" s="2940"/>
      <c r="DH20" s="2940"/>
      <c r="DI20" s="2940"/>
      <c r="DJ20" s="2940"/>
      <c r="DK20" s="2940"/>
      <c r="DL20" s="2940"/>
      <c r="DM20" s="2940"/>
      <c r="DN20" s="2940"/>
      <c r="DO20" s="2940"/>
      <c r="DP20" s="2940"/>
      <c r="DQ20" s="2940"/>
      <c r="DR20" s="2940"/>
      <c r="DS20" s="2940"/>
      <c r="DT20" s="2940"/>
      <c r="DU20" s="2940"/>
      <c r="DV20" s="2940"/>
      <c r="DW20" s="2940"/>
      <c r="DX20" s="2940"/>
      <c r="DY20" s="2940"/>
      <c r="DZ20" s="2940"/>
      <c r="EA20" s="2940"/>
      <c r="EB20" s="2940"/>
      <c r="EC20" s="2940"/>
      <c r="ED20" s="2940"/>
      <c r="EE20" s="2940"/>
      <c r="EF20" s="2940"/>
      <c r="EG20" s="2940"/>
      <c r="EH20" s="2940"/>
      <c r="EI20" s="2940"/>
      <c r="EJ20" s="2940"/>
      <c r="EK20" s="2940"/>
      <c r="EL20" s="2940"/>
      <c r="EM20" s="2940"/>
      <c r="EN20" s="2940"/>
      <c r="EO20" s="2940"/>
      <c r="EP20" s="2940"/>
      <c r="EQ20" s="2940"/>
      <c r="ER20" s="2940"/>
      <c r="ES20" s="2940"/>
      <c r="ET20" s="2940"/>
      <c r="EU20" s="2940"/>
      <c r="EV20" s="2940"/>
      <c r="EW20" s="2940"/>
      <c r="EX20" s="2940"/>
      <c r="EY20" s="2940"/>
      <c r="EZ20" s="2940"/>
      <c r="FA20" s="2940"/>
      <c r="FB20" s="2940"/>
      <c r="FC20" s="2940"/>
      <c r="FD20" s="2940"/>
      <c r="FE20" s="2940"/>
      <c r="FF20" s="2940"/>
      <c r="FG20" s="2940"/>
      <c r="FH20" s="2940"/>
      <c r="FI20" s="2940"/>
      <c r="FJ20" s="2940"/>
      <c r="FK20" s="2940"/>
      <c r="FL20" s="2940"/>
      <c r="FM20" s="2940"/>
      <c r="FN20" s="2940"/>
      <c r="FO20" s="2940"/>
      <c r="FP20" s="2940"/>
      <c r="FQ20" s="2940"/>
      <c r="FR20" s="2940"/>
      <c r="FS20" s="2940"/>
      <c r="FT20" s="2940"/>
      <c r="FU20" s="2940"/>
      <c r="FV20" s="2940"/>
      <c r="FW20" s="2940"/>
      <c r="FX20" s="2940"/>
      <c r="FY20" s="2940"/>
      <c r="FZ20" s="2940"/>
      <c r="GA20" s="2940"/>
      <c r="GB20" s="2940"/>
      <c r="GC20" s="2940"/>
      <c r="GD20" s="2940"/>
      <c r="GE20" s="2940"/>
      <c r="GF20" s="2940"/>
      <c r="GG20" s="2940"/>
      <c r="GH20" s="2940"/>
      <c r="GI20" s="2940"/>
      <c r="GJ20" s="2940"/>
      <c r="GK20" s="2940"/>
      <c r="GL20" s="2940"/>
      <c r="GM20" s="2940"/>
      <c r="GN20" s="2940"/>
      <c r="GO20" s="2940"/>
      <c r="GP20" s="2940"/>
      <c r="GQ20" s="2940"/>
      <c r="GR20" s="2940"/>
      <c r="GS20" s="2940"/>
      <c r="GT20" s="2940"/>
      <c r="GU20" s="2940"/>
      <c r="GV20" s="2940"/>
      <c r="GW20" s="2940"/>
      <c r="GX20" s="2940"/>
      <c r="GY20" s="2940"/>
      <c r="GZ20" s="2940"/>
      <c r="HA20" s="2940"/>
      <c r="HB20" s="2940"/>
      <c r="HC20" s="2940"/>
      <c r="HD20" s="2940"/>
      <c r="HE20" s="2940"/>
      <c r="HF20" s="2940"/>
      <c r="HG20" s="2940"/>
      <c r="HH20" s="2940"/>
      <c r="HI20" s="2940"/>
      <c r="HJ20" s="2940"/>
      <c r="HK20" s="2940"/>
      <c r="HL20" s="2940"/>
      <c r="HM20" s="2940"/>
      <c r="HN20" s="2940"/>
      <c r="HO20" s="2940"/>
      <c r="HP20" s="2940"/>
      <c r="HQ20" s="2940"/>
      <c r="HR20" s="2940"/>
      <c r="HS20" s="2940"/>
      <c r="HT20" s="2940"/>
      <c r="HU20" s="2940"/>
      <c r="HV20" s="2940"/>
      <c r="HW20" s="2940"/>
      <c r="HX20" s="2940"/>
      <c r="HY20" s="2940"/>
      <c r="HZ20" s="2940"/>
      <c r="IA20" s="2940"/>
      <c r="IB20" s="2940"/>
      <c r="IC20" s="2940"/>
      <c r="ID20" s="2940"/>
      <c r="IE20" s="2940"/>
      <c r="IF20" s="2940"/>
      <c r="IG20" s="2940"/>
      <c r="IH20" s="2940"/>
      <c r="II20" s="2940"/>
      <c r="IJ20" s="2940"/>
      <c r="IK20" s="2940"/>
      <c r="IL20" s="2940"/>
      <c r="IM20" s="2940"/>
      <c r="IN20" s="2940"/>
      <c r="IO20" s="2940"/>
      <c r="IP20" s="2940"/>
      <c r="IQ20" s="2940"/>
      <c r="IR20" s="2940"/>
      <c r="IS20" s="2940"/>
      <c r="IT20" s="2940"/>
      <c r="IU20" s="2940"/>
      <c r="IV20" s="2940"/>
    </row>
    <row r="21" spans="1:256" ht="18" customHeight="1">
      <c r="A21" s="2951" t="s">
        <v>3102</v>
      </c>
      <c r="B21" s="2946"/>
      <c r="C21" s="2940"/>
      <c r="D21" s="2940"/>
      <c r="E21" s="2940"/>
      <c r="F21" s="2940"/>
      <c r="G21" s="2940"/>
      <c r="H21" s="2940"/>
      <c r="I21" s="2940"/>
      <c r="J21" s="2940"/>
      <c r="K21" s="2940"/>
      <c r="L21" s="2940"/>
      <c r="M21" s="2940"/>
      <c r="N21" s="2940"/>
      <c r="O21" s="2940"/>
      <c r="P21" s="2940"/>
      <c r="Q21" s="2940"/>
      <c r="R21" s="2940"/>
      <c r="S21" s="2940"/>
      <c r="T21" s="2940"/>
      <c r="U21" s="2940"/>
      <c r="V21" s="2940"/>
      <c r="W21" s="2940"/>
      <c r="X21" s="2940"/>
      <c r="Y21" s="2940"/>
      <c r="Z21" s="2940"/>
      <c r="AA21" s="2940"/>
      <c r="AB21" s="2940"/>
      <c r="AC21" s="2940"/>
      <c r="AD21" s="2940"/>
      <c r="AE21" s="2940"/>
      <c r="AF21" s="2940"/>
      <c r="AG21" s="2940"/>
      <c r="AH21" s="2940"/>
      <c r="AI21" s="2940"/>
      <c r="AJ21" s="2940"/>
      <c r="AK21" s="2940"/>
      <c r="AL21" s="2940"/>
      <c r="AM21" s="2940"/>
      <c r="AN21" s="2940"/>
      <c r="AO21" s="2940"/>
      <c r="AP21" s="2940"/>
      <c r="AQ21" s="2940"/>
      <c r="AR21" s="2940"/>
      <c r="AS21" s="2940"/>
      <c r="AT21" s="2940"/>
      <c r="AU21" s="2940"/>
      <c r="AV21" s="2940"/>
      <c r="AW21" s="2940"/>
      <c r="AX21" s="2940"/>
      <c r="AY21" s="2940"/>
      <c r="AZ21" s="2940"/>
      <c r="BA21" s="2940"/>
      <c r="BB21" s="2940"/>
      <c r="BC21" s="2940"/>
      <c r="BD21" s="2940"/>
      <c r="BE21" s="2940"/>
      <c r="BF21" s="2940"/>
      <c r="BG21" s="2940"/>
      <c r="BH21" s="2940"/>
      <c r="BI21" s="2940"/>
      <c r="BJ21" s="2940"/>
      <c r="BK21" s="2940"/>
      <c r="BL21" s="2940"/>
      <c r="BM21" s="2940"/>
      <c r="BN21" s="2940"/>
      <c r="BO21" s="2940"/>
      <c r="BP21" s="2940"/>
      <c r="BQ21" s="2940"/>
      <c r="BR21" s="2940"/>
      <c r="BS21" s="2940"/>
      <c r="BT21" s="2940"/>
      <c r="BU21" s="2940"/>
      <c r="BV21" s="2940"/>
      <c r="BW21" s="2940"/>
      <c r="BX21" s="2940"/>
      <c r="BY21" s="2940"/>
      <c r="BZ21" s="2940"/>
      <c r="CA21" s="2940"/>
      <c r="CB21" s="2940"/>
      <c r="CC21" s="2940"/>
      <c r="CD21" s="2940"/>
      <c r="CE21" s="2940"/>
      <c r="CF21" s="2940"/>
      <c r="CG21" s="2940"/>
      <c r="CH21" s="2940"/>
      <c r="CI21" s="2940"/>
      <c r="CJ21" s="2940"/>
      <c r="CK21" s="2940"/>
      <c r="CL21" s="2940"/>
      <c r="CM21" s="2940"/>
      <c r="CN21" s="2940"/>
      <c r="CO21" s="2940"/>
      <c r="CP21" s="2940"/>
      <c r="CQ21" s="2940"/>
      <c r="CR21" s="2940"/>
      <c r="CS21" s="2940"/>
      <c r="CT21" s="2940"/>
      <c r="CU21" s="2940"/>
      <c r="CV21" s="2940"/>
      <c r="CW21" s="2940"/>
      <c r="CX21" s="2940"/>
      <c r="CY21" s="2940"/>
      <c r="CZ21" s="2940"/>
      <c r="DA21" s="2940"/>
      <c r="DB21" s="2940"/>
      <c r="DC21" s="2940"/>
      <c r="DD21" s="2940"/>
      <c r="DE21" s="2940"/>
      <c r="DF21" s="2940"/>
      <c r="DG21" s="2940"/>
      <c r="DH21" s="2940"/>
      <c r="DI21" s="2940"/>
      <c r="DJ21" s="2940"/>
      <c r="DK21" s="2940"/>
      <c r="DL21" s="2940"/>
      <c r="DM21" s="2940"/>
      <c r="DN21" s="2940"/>
      <c r="DO21" s="2940"/>
      <c r="DP21" s="2940"/>
      <c r="DQ21" s="2940"/>
      <c r="DR21" s="2940"/>
      <c r="DS21" s="2940"/>
      <c r="DT21" s="2940"/>
      <c r="DU21" s="2940"/>
      <c r="DV21" s="2940"/>
      <c r="DW21" s="2940"/>
      <c r="DX21" s="2940"/>
      <c r="DY21" s="2940"/>
      <c r="DZ21" s="2940"/>
      <c r="EA21" s="2940"/>
      <c r="EB21" s="2940"/>
      <c r="EC21" s="2940"/>
      <c r="ED21" s="2940"/>
      <c r="EE21" s="2940"/>
      <c r="EF21" s="2940"/>
      <c r="EG21" s="2940"/>
      <c r="EH21" s="2940"/>
      <c r="EI21" s="2940"/>
      <c r="EJ21" s="2940"/>
      <c r="EK21" s="2940"/>
      <c r="EL21" s="2940"/>
      <c r="EM21" s="2940"/>
      <c r="EN21" s="2940"/>
      <c r="EO21" s="2940"/>
      <c r="EP21" s="2940"/>
      <c r="EQ21" s="2940"/>
      <c r="ER21" s="2940"/>
      <c r="ES21" s="2940"/>
      <c r="ET21" s="2940"/>
      <c r="EU21" s="2940"/>
      <c r="EV21" s="2940"/>
      <c r="EW21" s="2940"/>
      <c r="EX21" s="2940"/>
      <c r="EY21" s="2940"/>
      <c r="EZ21" s="2940"/>
      <c r="FA21" s="2940"/>
      <c r="FB21" s="2940"/>
      <c r="FC21" s="2940"/>
      <c r="FD21" s="2940"/>
      <c r="FE21" s="2940"/>
      <c r="FF21" s="2940"/>
      <c r="FG21" s="2940"/>
      <c r="FH21" s="2940"/>
      <c r="FI21" s="2940"/>
      <c r="FJ21" s="2940"/>
      <c r="FK21" s="2940"/>
      <c r="FL21" s="2940"/>
      <c r="FM21" s="2940"/>
      <c r="FN21" s="2940"/>
      <c r="FO21" s="2940"/>
      <c r="FP21" s="2940"/>
      <c r="FQ21" s="2940"/>
      <c r="FR21" s="2940"/>
      <c r="FS21" s="2940"/>
      <c r="FT21" s="2940"/>
      <c r="FU21" s="2940"/>
      <c r="FV21" s="2940"/>
      <c r="FW21" s="2940"/>
      <c r="FX21" s="2940"/>
      <c r="FY21" s="2940"/>
      <c r="FZ21" s="2940"/>
      <c r="GA21" s="2940"/>
      <c r="GB21" s="2940"/>
      <c r="GC21" s="2940"/>
      <c r="GD21" s="2940"/>
      <c r="GE21" s="2940"/>
      <c r="GF21" s="2940"/>
      <c r="GG21" s="2940"/>
      <c r="GH21" s="2940"/>
      <c r="GI21" s="2940"/>
      <c r="GJ21" s="2940"/>
      <c r="GK21" s="2940"/>
      <c r="GL21" s="2940"/>
      <c r="GM21" s="2940"/>
      <c r="GN21" s="2940"/>
      <c r="GO21" s="2940"/>
      <c r="GP21" s="2940"/>
      <c r="GQ21" s="2940"/>
      <c r="GR21" s="2940"/>
      <c r="GS21" s="2940"/>
      <c r="GT21" s="2940"/>
      <c r="GU21" s="2940"/>
      <c r="GV21" s="2940"/>
      <c r="GW21" s="2940"/>
      <c r="GX21" s="2940"/>
      <c r="GY21" s="2940"/>
      <c r="GZ21" s="2940"/>
      <c r="HA21" s="2940"/>
      <c r="HB21" s="2940"/>
      <c r="HC21" s="2940"/>
      <c r="HD21" s="2940"/>
      <c r="HE21" s="2940"/>
      <c r="HF21" s="2940"/>
      <c r="HG21" s="2940"/>
      <c r="HH21" s="2940"/>
      <c r="HI21" s="2940"/>
      <c r="HJ21" s="2940"/>
      <c r="HK21" s="2940"/>
      <c r="HL21" s="2940"/>
      <c r="HM21" s="2940"/>
      <c r="HN21" s="2940"/>
      <c r="HO21" s="2940"/>
      <c r="HP21" s="2940"/>
      <c r="HQ21" s="2940"/>
      <c r="HR21" s="2940"/>
      <c r="HS21" s="2940"/>
      <c r="HT21" s="2940"/>
      <c r="HU21" s="2940"/>
      <c r="HV21" s="2940"/>
      <c r="HW21" s="2940"/>
      <c r="HX21" s="2940"/>
      <c r="HY21" s="2940"/>
      <c r="HZ21" s="2940"/>
      <c r="IA21" s="2940"/>
      <c r="IB21" s="2940"/>
      <c r="IC21" s="2940"/>
      <c r="ID21" s="2940"/>
      <c r="IE21" s="2940"/>
      <c r="IF21" s="2940"/>
      <c r="IG21" s="2940"/>
      <c r="IH21" s="2940"/>
      <c r="II21" s="2940"/>
      <c r="IJ21" s="2940"/>
      <c r="IK21" s="2940"/>
      <c r="IL21" s="2940"/>
      <c r="IM21" s="2940"/>
      <c r="IN21" s="2940"/>
      <c r="IO21" s="2940"/>
      <c r="IP21" s="2940"/>
      <c r="IQ21" s="2940"/>
      <c r="IR21" s="2940"/>
      <c r="IS21" s="2940"/>
      <c r="IT21" s="2940"/>
      <c r="IU21" s="2940"/>
      <c r="IV21" s="2940"/>
    </row>
  </sheetData>
  <mergeCells count="3">
    <mergeCell ref="A1:Q1"/>
    <mergeCell ref="A2:A3"/>
    <mergeCell ref="Q2:Q3"/>
  </mergeCells>
  <phoneticPr fontId="14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32"/>
  <sheetViews>
    <sheetView tabSelected="1" topLeftCell="A19" workbookViewId="0">
      <selection activeCell="B32" sqref="B32"/>
    </sheetView>
  </sheetViews>
  <sheetFormatPr defaultRowHeight="13.5"/>
  <sheetData>
    <row r="1" spans="1:11">
      <c r="B1" s="2996" t="s">
        <v>3349</v>
      </c>
      <c r="C1" s="2996" t="s">
        <v>3351</v>
      </c>
      <c r="E1" s="2996" t="s">
        <v>3354</v>
      </c>
      <c r="I1" s="2996" t="s">
        <v>3631</v>
      </c>
      <c r="J1" s="2996" t="s">
        <v>3632</v>
      </c>
      <c r="K1" s="2996" t="s">
        <v>3635</v>
      </c>
    </row>
    <row r="2" spans="1:11">
      <c r="A2" s="2996" t="s">
        <v>3350</v>
      </c>
      <c r="B2">
        <f>典型户型修正!R25</f>
        <v>72125</v>
      </c>
      <c r="C2">
        <f ca="1">ROUND(C3*10000/E2,0)</f>
        <v>41899</v>
      </c>
      <c r="E2">
        <f>'数据-汇总表'!F21+'数据-汇总表'!F22</f>
        <v>3141.59</v>
      </c>
      <c r="H2" s="2996" t="s">
        <v>3633</v>
      </c>
    </row>
    <row r="3" spans="1:11">
      <c r="A3" s="2996" t="s">
        <v>3355</v>
      </c>
      <c r="B3">
        <f>典型户型修正!S25+典型户型修正!S26</f>
        <v>22658</v>
      </c>
      <c r="C3">
        <f ca="1">'收益法-商业已租'!B2+'收益法-未租商业'!B2</f>
        <v>13163</v>
      </c>
      <c r="H3" s="2996" t="s">
        <v>3634</v>
      </c>
    </row>
    <row r="4" spans="1:11">
      <c r="A4" s="2996" t="s">
        <v>3356</v>
      </c>
      <c r="B4" s="3375">
        <f ca="1">B3/C3-1</f>
        <v>0.72134012003342707</v>
      </c>
      <c r="C4" s="3375"/>
    </row>
    <row r="5" spans="1:11">
      <c r="A5" s="2996" t="s">
        <v>3357</v>
      </c>
      <c r="B5" s="2952">
        <v>0.6</v>
      </c>
      <c r="C5" s="2952">
        <v>0.4</v>
      </c>
    </row>
    <row r="6" spans="1:11">
      <c r="A6" s="2996" t="s">
        <v>3358</v>
      </c>
      <c r="B6" s="3376">
        <f ca="1">ROUND(B3*B5+C3*C5,0)</f>
        <v>18860</v>
      </c>
      <c r="C6" s="3376"/>
    </row>
    <row r="7" spans="1:11">
      <c r="A7" s="2996" t="s">
        <v>3359</v>
      </c>
      <c r="B7" s="3376">
        <f ca="1">ROUND(B6*10000/E2,0)</f>
        <v>60033</v>
      </c>
      <c r="C7" s="3376"/>
    </row>
    <row r="11" spans="1:11">
      <c r="A11" s="2954" t="s">
        <v>3427</v>
      </c>
      <c r="B11" s="2953"/>
      <c r="C11" s="2953"/>
      <c r="D11" s="2953"/>
    </row>
    <row r="12" spans="1:11">
      <c r="A12" s="2953"/>
      <c r="B12" s="2954" t="s">
        <v>3359</v>
      </c>
      <c r="C12" s="2954" t="s">
        <v>3429</v>
      </c>
      <c r="D12" s="2954" t="s">
        <v>3461</v>
      </c>
    </row>
    <row r="13" spans="1:11">
      <c r="A13" s="2954" t="s">
        <v>3428</v>
      </c>
      <c r="B13" s="2953">
        <f ca="1">'结果表-办公'!B7:C7</f>
        <v>53974</v>
      </c>
      <c r="C13" s="3079">
        <f ca="1">'结果表-办公'!B6</f>
        <v>341694</v>
      </c>
      <c r="D13" s="2953">
        <f>'结果表-办公'!E2</f>
        <v>63306.74000000002</v>
      </c>
    </row>
    <row r="14" spans="1:11">
      <c r="A14" s="2954" t="s">
        <v>3430</v>
      </c>
      <c r="B14" s="2953">
        <f ca="1">B7</f>
        <v>60033</v>
      </c>
      <c r="C14" s="2953">
        <f ca="1">B6</f>
        <v>18860</v>
      </c>
      <c r="D14" s="2953">
        <f>E2</f>
        <v>3141.59</v>
      </c>
    </row>
    <row r="15" spans="1:11">
      <c r="A15" s="3436" t="s">
        <v>3431</v>
      </c>
      <c r="B15" s="3436"/>
      <c r="C15" s="2953">
        <f ca="1">SUM(C13:C14)</f>
        <v>360554</v>
      </c>
      <c r="D15" s="2953">
        <f>D13+D14</f>
        <v>66448.330000000016</v>
      </c>
      <c r="E15">
        <f ca="1">ROUND(C15*10000/D15,0)</f>
        <v>54261</v>
      </c>
    </row>
    <row r="16" spans="1:11">
      <c r="A16" s="2954" t="s">
        <v>3462</v>
      </c>
      <c r="B16" s="2953"/>
      <c r="C16" s="2953"/>
      <c r="D16" s="2953"/>
    </row>
    <row r="17" spans="1:6">
      <c r="A17" s="2954" t="s">
        <v>3463</v>
      </c>
      <c r="B17" s="2953">
        <f ca="1">[2]结果表!$I$118</f>
        <v>34233</v>
      </c>
      <c r="C17" s="2953">
        <f ca="1">[2]结果表!$G$19</f>
        <v>141148</v>
      </c>
      <c r="D17" s="2953">
        <f>[2]结果表!$L$18</f>
        <v>41231.079999999994</v>
      </c>
      <c r="E17">
        <f ca="1">ROUND(C17*10000/D17,0)</f>
        <v>34233</v>
      </c>
    </row>
    <row r="18" spans="1:6">
      <c r="A18" s="2953"/>
      <c r="B18" s="2953"/>
      <c r="C18" s="2953"/>
      <c r="D18" s="2953"/>
      <c r="E18" t="e">
        <f t="shared" ref="E18:E19" si="0">ROUND(C18*10000/D18,0)</f>
        <v>#DIV/0!</v>
      </c>
    </row>
    <row r="19" spans="1:6">
      <c r="A19" s="3436" t="s">
        <v>3464</v>
      </c>
      <c r="B19" s="3436"/>
      <c r="C19" s="2953">
        <f ca="1">C15+C17</f>
        <v>501702</v>
      </c>
      <c r="D19" s="2953">
        <f>D17+D15</f>
        <v>107679.41</v>
      </c>
      <c r="E19">
        <f t="shared" ca="1" si="0"/>
        <v>46592</v>
      </c>
    </row>
    <row r="21" spans="1:6">
      <c r="A21" s="2996" t="s">
        <v>3472</v>
      </c>
      <c r="B21">
        <f ca="1">B14</f>
        <v>60033</v>
      </c>
    </row>
    <row r="27" spans="1:6">
      <c r="A27" s="2996" t="s">
        <v>3481</v>
      </c>
      <c r="E27" s="2996" t="s">
        <v>3480</v>
      </c>
      <c r="F27">
        <f>'数据-汇总表'!E3</f>
        <v>66448.330000000016</v>
      </c>
    </row>
    <row r="28" spans="1:6">
      <c r="A28" s="2996" t="s">
        <v>3478</v>
      </c>
      <c r="C28">
        <f ca="1">'收益法-办公已租'!C13+'收益法-办公已租'!J13+'收益法-办公未租'!C13+'收益法-商业已租'!C13+'收益法-商业已租'!J13+'收益法-未租商业'!C13</f>
        <v>50678</v>
      </c>
      <c r="D28">
        <f ca="1">ROUND(C28*10000/F27,0)</f>
        <v>7627</v>
      </c>
    </row>
    <row r="29" spans="1:6">
      <c r="A29" s="2996" t="s">
        <v>3479</v>
      </c>
      <c r="C29">
        <f ca="1">C15-C28</f>
        <v>309876</v>
      </c>
      <c r="D29">
        <f ca="1">E15-D28</f>
        <v>46634</v>
      </c>
    </row>
    <row r="31" spans="1:6">
      <c r="B31">
        <f ca="1">C29+[2]结果表!$D$118</f>
        <v>429711</v>
      </c>
    </row>
    <row r="32" spans="1:6">
      <c r="B32">
        <f ca="1">C28+[2]结果表!$F$118</f>
        <v>71991</v>
      </c>
    </row>
  </sheetData>
  <mergeCells count="5">
    <mergeCell ref="B4:C4"/>
    <mergeCell ref="B6:C6"/>
    <mergeCell ref="B7:C7"/>
    <mergeCell ref="A15:B15"/>
    <mergeCell ref="A19:B19"/>
  </mergeCells>
  <phoneticPr fontId="144" type="noConversion"/>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B9" sqref="B9"/>
    </sheetView>
  </sheetViews>
  <sheetFormatPr defaultRowHeight="13.5"/>
  <sheetData>
    <row r="1" spans="1:11">
      <c r="A1" s="2953"/>
      <c r="B1" s="2954" t="s">
        <v>3103</v>
      </c>
      <c r="C1" s="2954" t="s">
        <v>3114</v>
      </c>
      <c r="D1" s="2954" t="s">
        <v>3115</v>
      </c>
      <c r="E1" s="2954" t="s">
        <v>3110</v>
      </c>
      <c r="F1" s="2954" t="s">
        <v>3116</v>
      </c>
      <c r="G1" s="2954" t="s">
        <v>3117</v>
      </c>
      <c r="H1" s="2954" t="s">
        <v>3112</v>
      </c>
      <c r="I1" s="2954" t="s">
        <v>3114</v>
      </c>
      <c r="J1" s="2954" t="s">
        <v>3115</v>
      </c>
      <c r="K1" s="2954" t="s">
        <v>3113</v>
      </c>
    </row>
    <row r="2" spans="1:11">
      <c r="A2" s="2954" t="s">
        <v>3107</v>
      </c>
      <c r="B2" s="2953"/>
      <c r="C2" s="2953"/>
      <c r="D2" s="2953"/>
      <c r="E2" s="2953"/>
      <c r="F2" s="2953"/>
      <c r="G2" s="2953"/>
      <c r="H2" s="2953"/>
      <c r="I2" s="2953"/>
      <c r="J2" s="2953"/>
      <c r="K2" s="2953">
        <v>3039.85</v>
      </c>
    </row>
    <row r="3" spans="1:11">
      <c r="A3" s="2954" t="s">
        <v>3108</v>
      </c>
      <c r="B3" s="2953">
        <v>6954.92</v>
      </c>
      <c r="C3" s="2953">
        <f>C5*0.6</f>
        <v>60000</v>
      </c>
      <c r="D3" s="2953">
        <f>ROUND(B3*C3/10000,0)</f>
        <v>41730</v>
      </c>
      <c r="E3" s="2953"/>
      <c r="F3" s="2953"/>
      <c r="G3" s="2953"/>
      <c r="H3" s="2953">
        <v>6958.06</v>
      </c>
      <c r="I3" s="2953">
        <v>15000</v>
      </c>
      <c r="J3" s="2953">
        <f>ROUND(I3*H3/10000,0)</f>
        <v>10437</v>
      </c>
      <c r="K3" s="2953"/>
    </row>
    <row r="4" spans="1:11">
      <c r="A4" s="2954" t="s">
        <v>3109</v>
      </c>
      <c r="B4" s="2953">
        <v>6650.82</v>
      </c>
      <c r="C4" s="2953">
        <f>C5*0.75</f>
        <v>75000</v>
      </c>
      <c r="D4" s="2953">
        <f t="shared" ref="D4:D7" si="0">ROUND(B4*C4/10000,0)</f>
        <v>49881</v>
      </c>
      <c r="E4" s="2953"/>
      <c r="F4" s="2953"/>
      <c r="G4" s="2953"/>
      <c r="H4" s="2953"/>
      <c r="I4" s="2953"/>
      <c r="J4" s="2953"/>
      <c r="K4" s="2953"/>
    </row>
    <row r="5" spans="1:11">
      <c r="A5" s="2954" t="s">
        <v>3104</v>
      </c>
      <c r="B5" s="2953">
        <f>2894.59+1377.98</f>
        <v>4272.57</v>
      </c>
      <c r="C5" s="2953">
        <v>100000</v>
      </c>
      <c r="D5" s="2953">
        <f t="shared" si="0"/>
        <v>42726</v>
      </c>
      <c r="E5" s="2953"/>
      <c r="F5" s="2953"/>
      <c r="G5" s="2953"/>
      <c r="H5" s="2953"/>
      <c r="I5" s="2953"/>
      <c r="J5" s="2953"/>
      <c r="K5" s="2953"/>
    </row>
    <row r="6" spans="1:11">
      <c r="A6" s="2954" t="s">
        <v>3105</v>
      </c>
      <c r="B6" s="2953">
        <v>4505.8599999999997</v>
      </c>
      <c r="C6" s="2953">
        <f>C5*0.8</f>
        <v>80000</v>
      </c>
      <c r="D6" s="2953">
        <f t="shared" si="0"/>
        <v>36047</v>
      </c>
      <c r="E6" s="2953"/>
      <c r="F6" s="2953"/>
      <c r="G6" s="2953"/>
      <c r="H6" s="2953"/>
      <c r="I6" s="2953"/>
      <c r="J6" s="2953"/>
      <c r="K6" s="2953"/>
    </row>
    <row r="7" spans="1:11">
      <c r="A7" s="2954" t="s">
        <v>3106</v>
      </c>
      <c r="B7" s="2953">
        <f>1558.86+1582.73</f>
        <v>3141.59</v>
      </c>
      <c r="C7" s="2953">
        <f>C5*0.7</f>
        <v>70000</v>
      </c>
      <c r="D7" s="2953">
        <f t="shared" si="0"/>
        <v>21991</v>
      </c>
      <c r="E7" s="2953"/>
      <c r="F7" s="2953"/>
      <c r="G7" s="2953"/>
      <c r="H7" s="2953"/>
      <c r="I7" s="2953"/>
      <c r="J7" s="2953"/>
      <c r="K7" s="2953"/>
    </row>
    <row r="8" spans="1:11">
      <c r="A8" s="2954" t="s">
        <v>3111</v>
      </c>
      <c r="B8" s="2953"/>
      <c r="C8" s="2953"/>
      <c r="D8" s="2953"/>
      <c r="E8" s="2953">
        <v>63306.74</v>
      </c>
      <c r="F8" s="2953">
        <v>50000</v>
      </c>
      <c r="G8" s="2953">
        <f>ROUND(F8*E8/10000,0)</f>
        <v>316534</v>
      </c>
      <c r="H8" s="2953"/>
      <c r="I8" s="2953"/>
      <c r="J8" s="2953"/>
      <c r="K8" s="2953"/>
    </row>
    <row r="9" spans="1:11">
      <c r="A9" s="2954" t="s">
        <v>3118</v>
      </c>
      <c r="B9" s="2953">
        <f>D3+D4+D5+D6+D7+G8+J3</f>
        <v>519346</v>
      </c>
      <c r="C9" s="2953"/>
      <c r="D9" s="2953"/>
      <c r="E9" s="2953"/>
      <c r="F9" s="2953"/>
      <c r="G9" s="2953"/>
      <c r="H9" s="2953"/>
      <c r="I9" s="2953"/>
      <c r="J9" s="2953"/>
      <c r="K9" s="2953"/>
    </row>
    <row r="10" spans="1:11">
      <c r="A10" s="2953"/>
      <c r="B10" s="2953"/>
      <c r="C10" s="2953"/>
      <c r="D10" s="2953"/>
      <c r="E10" s="2953"/>
      <c r="F10" s="2953"/>
      <c r="G10" s="2953"/>
      <c r="H10" s="2953"/>
      <c r="I10" s="2953"/>
      <c r="J10" s="2953"/>
      <c r="K10" s="2953"/>
    </row>
  </sheetData>
  <phoneticPr fontId="14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1"/>
  <sheetViews>
    <sheetView topLeftCell="A40" workbookViewId="0">
      <selection activeCell="U6" sqref="U6"/>
    </sheetView>
  </sheetViews>
  <sheetFormatPr defaultRowHeight="13.5"/>
  <cols>
    <col min="2" max="2" width="11.625" bestFit="1" customWidth="1"/>
    <col min="5" max="5" width="37.125" bestFit="1" customWidth="1"/>
    <col min="8" max="8" width="18.875" bestFit="1" customWidth="1"/>
    <col min="11" max="11" width="12.5" customWidth="1"/>
    <col min="14" max="14" width="10.125" customWidth="1"/>
    <col min="15" max="15" width="17.25" bestFit="1" customWidth="1"/>
    <col min="16" max="16" width="9" customWidth="1"/>
    <col min="18" max="18" width="9.5" bestFit="1" customWidth="1"/>
    <col min="22" max="22" width="17.25" bestFit="1" customWidth="1"/>
  </cols>
  <sheetData>
    <row r="1" spans="1:22" ht="14.25">
      <c r="A1" s="3438" t="s">
        <v>3140</v>
      </c>
      <c r="B1" s="3438"/>
      <c r="C1" s="3438"/>
      <c r="D1" s="3438"/>
      <c r="E1" s="3438"/>
      <c r="F1" s="3438"/>
      <c r="G1" s="3438"/>
      <c r="H1" s="3438"/>
      <c r="I1" s="3438"/>
      <c r="J1" s="3438"/>
      <c r="K1" s="3438"/>
      <c r="N1" s="3449" t="s">
        <v>3195</v>
      </c>
      <c r="O1" s="3449"/>
      <c r="P1" s="3449"/>
      <c r="Q1" s="3449"/>
      <c r="R1" s="3449"/>
      <c r="S1" s="3449"/>
      <c r="T1" s="3449"/>
    </row>
    <row r="2" spans="1:22">
      <c r="A2" s="3436" t="s">
        <v>3636</v>
      </c>
      <c r="B2" s="3437"/>
      <c r="C2" s="3437"/>
      <c r="D2" s="3437"/>
      <c r="E2" s="3437"/>
      <c r="F2" s="3437"/>
      <c r="G2" s="3437"/>
      <c r="H2" s="3437"/>
      <c r="I2" s="3437"/>
      <c r="J2" s="3437"/>
      <c r="K2" s="3437"/>
      <c r="N2" s="3454" t="s">
        <v>3141</v>
      </c>
      <c r="O2" s="3441" t="s">
        <v>3142</v>
      </c>
      <c r="P2" s="3441" t="s">
        <v>3196</v>
      </c>
      <c r="Q2" s="3441" t="s">
        <v>3197</v>
      </c>
      <c r="R2" s="3441" t="s">
        <v>3143</v>
      </c>
      <c r="S2" s="3441" t="s">
        <v>3198</v>
      </c>
      <c r="T2" s="3455" t="s">
        <v>3199</v>
      </c>
      <c r="U2" s="2996" t="s">
        <v>3223</v>
      </c>
      <c r="V2" s="2996" t="s">
        <v>3224</v>
      </c>
    </row>
    <row r="3" spans="1:22">
      <c r="A3" s="3437"/>
      <c r="B3" s="3437"/>
      <c r="C3" s="3437"/>
      <c r="D3" s="3437"/>
      <c r="E3" s="3437"/>
      <c r="F3" s="3437"/>
      <c r="G3" s="3437"/>
      <c r="H3" s="3437"/>
      <c r="I3" s="3437"/>
      <c r="J3" s="3437"/>
      <c r="K3" s="3437"/>
      <c r="N3" s="3454"/>
      <c r="O3" s="3442"/>
      <c r="P3" s="3442"/>
      <c r="Q3" s="3442"/>
      <c r="R3" s="3442"/>
      <c r="S3" s="3442"/>
      <c r="T3" s="3455"/>
    </row>
    <row r="4" spans="1:22">
      <c r="A4" s="3447" t="s">
        <v>3482</v>
      </c>
      <c r="B4" s="3447" t="s">
        <v>3483</v>
      </c>
      <c r="C4" s="3447" t="s">
        <v>3484</v>
      </c>
      <c r="D4" s="3447" t="s">
        <v>3485</v>
      </c>
      <c r="E4" s="3447" t="s">
        <v>3486</v>
      </c>
      <c r="F4" s="3460" t="s">
        <v>3618</v>
      </c>
      <c r="G4" s="3460" t="s">
        <v>3619</v>
      </c>
      <c r="H4" s="3447" t="s">
        <v>3487</v>
      </c>
      <c r="I4" s="3462" t="s">
        <v>3620</v>
      </c>
      <c r="J4" s="3456" t="s">
        <v>3621</v>
      </c>
      <c r="K4" s="3456" t="s">
        <v>3622</v>
      </c>
      <c r="N4" s="2987" t="s">
        <v>3200</v>
      </c>
      <c r="O4" s="2987" t="s">
        <v>3201</v>
      </c>
      <c r="P4" s="2988">
        <v>152.26</v>
      </c>
      <c r="Q4" s="3450" t="s">
        <v>3202</v>
      </c>
      <c r="R4" s="3451"/>
      <c r="S4" s="2989">
        <f>(420*2+500*2+550)/5</f>
        <v>478</v>
      </c>
      <c r="T4" s="2990" t="s">
        <v>3145</v>
      </c>
      <c r="U4">
        <f>ROUND(S4/30,2)</f>
        <v>15.93</v>
      </c>
      <c r="V4" s="3002">
        <f>S4*P4*12</f>
        <v>873363.36</v>
      </c>
    </row>
    <row r="5" spans="1:22">
      <c r="A5" s="3448"/>
      <c r="B5" s="3448"/>
      <c r="C5" s="3448"/>
      <c r="D5" s="3448"/>
      <c r="E5" s="3448"/>
      <c r="F5" s="3461"/>
      <c r="G5" s="3461"/>
      <c r="H5" s="3448"/>
      <c r="I5" s="3463"/>
      <c r="J5" s="3457"/>
      <c r="K5" s="3457"/>
      <c r="N5" s="2987" t="s">
        <v>3203</v>
      </c>
      <c r="O5" s="2991" t="s">
        <v>3204</v>
      </c>
      <c r="P5" s="2988">
        <v>417</v>
      </c>
      <c r="Q5" s="3450" t="s">
        <v>3202</v>
      </c>
      <c r="R5" s="3451"/>
      <c r="S5" s="2989">
        <f>(270*2+287*2+305)/5</f>
        <v>283.8</v>
      </c>
      <c r="T5" s="2990" t="s">
        <v>3145</v>
      </c>
      <c r="U5">
        <f t="shared" ref="U5:U11" si="0">ROUND(S5/30,2)</f>
        <v>9.4600000000000009</v>
      </c>
      <c r="V5" s="3002">
        <f t="shared" ref="V5:V11" si="1">S5*P5*12</f>
        <v>1420135.2000000002</v>
      </c>
    </row>
    <row r="6" spans="1:22">
      <c r="A6" s="3094" t="s">
        <v>3488</v>
      </c>
      <c r="B6" s="3094" t="s">
        <v>3489</v>
      </c>
      <c r="C6" s="3094" t="s">
        <v>3543</v>
      </c>
      <c r="D6" s="3094" t="s">
        <v>3144</v>
      </c>
      <c r="E6" s="3094" t="s">
        <v>3490</v>
      </c>
      <c r="F6" s="3095">
        <v>1707.95</v>
      </c>
      <c r="G6" s="3096">
        <v>205</v>
      </c>
      <c r="H6" s="3094" t="s">
        <v>3544</v>
      </c>
      <c r="I6" s="3093" t="s">
        <v>3491</v>
      </c>
      <c r="J6" s="3092">
        <f t="shared" ref="J6:J37" si="2">ROUND(G6/30,2)</f>
        <v>6.83</v>
      </c>
      <c r="K6" s="3092">
        <f t="shared" ref="K6:K37" si="3">G6*F6*12</f>
        <v>4201557</v>
      </c>
      <c r="M6" s="3039" t="s">
        <v>3327</v>
      </c>
      <c r="N6" s="3033" t="s">
        <v>3629</v>
      </c>
      <c r="O6" s="3034" t="s">
        <v>3630</v>
      </c>
      <c r="P6" s="3035">
        <v>500</v>
      </c>
      <c r="Q6" s="3452" t="s">
        <v>3202</v>
      </c>
      <c r="R6" s="3453"/>
      <c r="S6" s="3036">
        <f>(274+296+320+346+374)/5</f>
        <v>322</v>
      </c>
      <c r="T6" s="3037" t="s">
        <v>3145</v>
      </c>
      <c r="U6" s="3038">
        <f t="shared" si="0"/>
        <v>10.73</v>
      </c>
      <c r="V6" s="3040">
        <f t="shared" si="1"/>
        <v>1932000</v>
      </c>
    </row>
    <row r="7" spans="1:22">
      <c r="A7" s="3094" t="s">
        <v>3488</v>
      </c>
      <c r="B7" s="3094" t="s">
        <v>3489</v>
      </c>
      <c r="C7" s="3094" t="s">
        <v>3545</v>
      </c>
      <c r="D7" s="3094" t="s">
        <v>3623</v>
      </c>
      <c r="E7" s="3094" t="s">
        <v>3624</v>
      </c>
      <c r="F7" s="3095">
        <v>1117.02</v>
      </c>
      <c r="G7" s="3096">
        <v>300</v>
      </c>
      <c r="H7" s="3094" t="s">
        <v>3625</v>
      </c>
      <c r="I7" s="3093" t="s">
        <v>3491</v>
      </c>
      <c r="J7" s="3092">
        <f t="shared" si="2"/>
        <v>10</v>
      </c>
      <c r="K7" s="3092">
        <f t="shared" si="3"/>
        <v>4021272</v>
      </c>
      <c r="N7" s="2987" t="s">
        <v>3205</v>
      </c>
      <c r="O7" s="2992" t="s">
        <v>3206</v>
      </c>
      <c r="P7" s="2988">
        <v>145.87</v>
      </c>
      <c r="Q7" s="3450" t="s">
        <v>3207</v>
      </c>
      <c r="R7" s="3451"/>
      <c r="S7" s="2993">
        <f>(415+435.7+457.5+480.4)/4</f>
        <v>447.15</v>
      </c>
      <c r="T7" s="2990" t="s">
        <v>3145</v>
      </c>
      <c r="U7">
        <f t="shared" si="0"/>
        <v>14.91</v>
      </c>
      <c r="V7" s="3002">
        <f t="shared" si="1"/>
        <v>782709.24600000004</v>
      </c>
    </row>
    <row r="8" spans="1:22">
      <c r="A8" s="3094" t="s">
        <v>3488</v>
      </c>
      <c r="B8" s="3094" t="s">
        <v>3489</v>
      </c>
      <c r="C8" s="3094" t="s">
        <v>3546</v>
      </c>
      <c r="D8" s="3094" t="s">
        <v>3146</v>
      </c>
      <c r="E8" s="3094" t="s">
        <v>3492</v>
      </c>
      <c r="F8" s="3095">
        <v>770.48</v>
      </c>
      <c r="G8" s="3096">
        <v>280</v>
      </c>
      <c r="H8" s="3094" t="s">
        <v>3547</v>
      </c>
      <c r="I8" s="3093" t="s">
        <v>3491</v>
      </c>
      <c r="J8" s="3092">
        <f t="shared" si="2"/>
        <v>9.33</v>
      </c>
      <c r="K8" s="3092">
        <f t="shared" si="3"/>
        <v>2588812.7999999998</v>
      </c>
      <c r="N8" s="2987" t="s">
        <v>3208</v>
      </c>
      <c r="O8" s="2992" t="s">
        <v>3209</v>
      </c>
      <c r="P8" s="2988">
        <v>119.15</v>
      </c>
      <c r="Q8" s="3450" t="s">
        <v>3207</v>
      </c>
      <c r="R8" s="3451"/>
      <c r="S8" s="2993">
        <f>(450+472.5+496.13+520.93)/4</f>
        <v>484.89</v>
      </c>
      <c r="T8" s="2990" t="s">
        <v>3145</v>
      </c>
      <c r="U8">
        <f t="shared" si="0"/>
        <v>16.16</v>
      </c>
      <c r="V8" s="3002">
        <f t="shared" si="1"/>
        <v>693295.72199999995</v>
      </c>
    </row>
    <row r="9" spans="1:22">
      <c r="A9" s="3094" t="s">
        <v>3488</v>
      </c>
      <c r="B9" s="3094" t="s">
        <v>3489</v>
      </c>
      <c r="C9" s="3094" t="s">
        <v>3546</v>
      </c>
      <c r="D9" s="3094" t="s">
        <v>3147</v>
      </c>
      <c r="E9" s="3094" t="s">
        <v>3493</v>
      </c>
      <c r="F9" s="3095">
        <v>909.53</v>
      </c>
      <c r="G9" s="3096">
        <v>300</v>
      </c>
      <c r="H9" s="3094" t="s">
        <v>3548</v>
      </c>
      <c r="I9" s="3093" t="s">
        <v>3491</v>
      </c>
      <c r="J9" s="3092">
        <f t="shared" si="2"/>
        <v>10</v>
      </c>
      <c r="K9" s="3092">
        <f t="shared" si="3"/>
        <v>3274308</v>
      </c>
      <c r="N9" s="2987" t="s">
        <v>3210</v>
      </c>
      <c r="O9" s="2992" t="s">
        <v>3211</v>
      </c>
      <c r="P9" s="2988">
        <v>519.13</v>
      </c>
      <c r="Q9" s="3450" t="s">
        <v>3212</v>
      </c>
      <c r="R9" s="3451"/>
      <c r="S9" s="2993">
        <f>(350+367.5+385.88+405.17+425.43+446.7)/6</f>
        <v>396.78000000000003</v>
      </c>
      <c r="T9" s="2990" t="s">
        <v>3145</v>
      </c>
      <c r="U9">
        <f t="shared" si="0"/>
        <v>13.23</v>
      </c>
      <c r="V9" s="3002">
        <f t="shared" si="1"/>
        <v>2471764.8168000001</v>
      </c>
    </row>
    <row r="10" spans="1:22">
      <c r="A10" s="3094" t="s">
        <v>3488</v>
      </c>
      <c r="B10" s="3094" t="s">
        <v>3489</v>
      </c>
      <c r="C10" s="3094" t="s">
        <v>3549</v>
      </c>
      <c r="D10" s="3094" t="s">
        <v>3550</v>
      </c>
      <c r="E10" s="3094" t="s">
        <v>3494</v>
      </c>
      <c r="F10" s="3095">
        <v>1165.77</v>
      </c>
      <c r="G10" s="3096">
        <v>280</v>
      </c>
      <c r="H10" s="3094" t="s">
        <v>3547</v>
      </c>
      <c r="I10" s="3093" t="s">
        <v>3491</v>
      </c>
      <c r="J10" s="3092">
        <f t="shared" si="2"/>
        <v>9.33</v>
      </c>
      <c r="K10" s="3092">
        <f t="shared" si="3"/>
        <v>3916987.1999999997</v>
      </c>
      <c r="N10" s="2987" t="s">
        <v>3213</v>
      </c>
      <c r="O10" s="3458" t="s">
        <v>3214</v>
      </c>
      <c r="P10" s="2988">
        <f>14+82</f>
        <v>96</v>
      </c>
      <c r="Q10" s="3450" t="s">
        <v>3215</v>
      </c>
      <c r="R10" s="3451"/>
      <c r="S10" s="2994">
        <f>(463*2+486.15*2+510.46*2+535.99*2)/8</f>
        <v>498.9</v>
      </c>
      <c r="T10" s="2990" t="s">
        <v>3145</v>
      </c>
      <c r="U10">
        <f t="shared" si="0"/>
        <v>16.63</v>
      </c>
      <c r="V10" s="3002">
        <f t="shared" si="1"/>
        <v>574732.79999999993</v>
      </c>
    </row>
    <row r="11" spans="1:22">
      <c r="A11" s="3094" t="s">
        <v>3488</v>
      </c>
      <c r="B11" s="3094" t="s">
        <v>3489</v>
      </c>
      <c r="C11" s="3094" t="s">
        <v>3549</v>
      </c>
      <c r="D11" s="3094" t="s">
        <v>3148</v>
      </c>
      <c r="E11" s="3094" t="s">
        <v>3495</v>
      </c>
      <c r="F11" s="3095">
        <v>504.92</v>
      </c>
      <c r="G11" s="3096">
        <v>280</v>
      </c>
      <c r="H11" s="3094" t="s">
        <v>3551</v>
      </c>
      <c r="I11" s="3093" t="s">
        <v>3491</v>
      </c>
      <c r="J11" s="3092">
        <f t="shared" si="2"/>
        <v>9.33</v>
      </c>
      <c r="K11" s="3092">
        <f t="shared" si="3"/>
        <v>1696531.2000000002</v>
      </c>
      <c r="N11" s="2987" t="s">
        <v>3216</v>
      </c>
      <c r="O11" s="3459"/>
      <c r="P11" s="2988">
        <v>4194</v>
      </c>
      <c r="Q11" s="3450" t="s">
        <v>3215</v>
      </c>
      <c r="R11" s="3451"/>
      <c r="S11" s="2995">
        <f>(109.6*2+115.08*2+120.84*2+126.89*2)/8</f>
        <v>118.10249999999999</v>
      </c>
      <c r="T11" s="2990" t="s">
        <v>3145</v>
      </c>
      <c r="U11">
        <f t="shared" si="0"/>
        <v>3.94</v>
      </c>
      <c r="V11" s="3002">
        <f t="shared" si="1"/>
        <v>5943862.6199999992</v>
      </c>
    </row>
    <row r="12" spans="1:22">
      <c r="A12" s="3094" t="s">
        <v>3488</v>
      </c>
      <c r="B12" s="3094" t="s">
        <v>3489</v>
      </c>
      <c r="C12" s="3094" t="s">
        <v>3552</v>
      </c>
      <c r="D12" s="3094" t="s">
        <v>3149</v>
      </c>
      <c r="E12" s="3094" t="s">
        <v>3496</v>
      </c>
      <c r="F12" s="3095">
        <v>439.32</v>
      </c>
      <c r="G12" s="3096">
        <v>290</v>
      </c>
      <c r="H12" s="3094" t="s">
        <v>3553</v>
      </c>
      <c r="I12" s="3093" t="s">
        <v>3491</v>
      </c>
      <c r="J12" s="3092">
        <f t="shared" si="2"/>
        <v>9.67</v>
      </c>
      <c r="K12" s="3092">
        <f t="shared" si="3"/>
        <v>1528833.6</v>
      </c>
      <c r="P12" s="3003">
        <f>SUM(P4:P11)</f>
        <v>6143.41</v>
      </c>
      <c r="V12" s="3002">
        <f>SUM(V4:V11)</f>
        <v>14691863.764800001</v>
      </c>
    </row>
    <row r="13" spans="1:22">
      <c r="A13" s="3094" t="s">
        <v>3488</v>
      </c>
      <c r="B13" s="3094" t="s">
        <v>3489</v>
      </c>
      <c r="C13" s="3094" t="s">
        <v>3552</v>
      </c>
      <c r="D13" s="3094" t="s">
        <v>3150</v>
      </c>
      <c r="E13" s="3094" t="s">
        <v>3497</v>
      </c>
      <c r="F13" s="3095">
        <v>122.97</v>
      </c>
      <c r="G13" s="3096">
        <v>278</v>
      </c>
      <c r="H13" s="3097" t="s">
        <v>3554</v>
      </c>
      <c r="I13" s="3093" t="s">
        <v>3498</v>
      </c>
      <c r="J13" s="3092">
        <f t="shared" si="2"/>
        <v>9.27</v>
      </c>
      <c r="K13" s="3092">
        <f t="shared" si="3"/>
        <v>410227.91999999993</v>
      </c>
      <c r="N13" s="3001" t="s">
        <v>3221</v>
      </c>
    </row>
    <row r="14" spans="1:22">
      <c r="A14" s="3094" t="s">
        <v>3488</v>
      </c>
      <c r="B14" s="3094" t="s">
        <v>3489</v>
      </c>
      <c r="C14" s="3094" t="s">
        <v>3552</v>
      </c>
      <c r="D14" s="3094" t="s">
        <v>3151</v>
      </c>
      <c r="E14" s="3094" t="s">
        <v>3499</v>
      </c>
      <c r="F14" s="3095">
        <v>363.99</v>
      </c>
      <c r="G14" s="3096">
        <v>300</v>
      </c>
      <c r="H14" s="3094" t="s">
        <v>3555</v>
      </c>
      <c r="I14" s="3093" t="s">
        <v>3491</v>
      </c>
      <c r="J14" s="3092">
        <f t="shared" si="2"/>
        <v>10</v>
      </c>
      <c r="K14" s="3092">
        <f t="shared" si="3"/>
        <v>1310364</v>
      </c>
      <c r="N14" s="3001" t="s">
        <v>3222</v>
      </c>
      <c r="O14" s="2998">
        <v>45777</v>
      </c>
    </row>
    <row r="15" spans="1:22">
      <c r="A15" s="3094" t="s">
        <v>3488</v>
      </c>
      <c r="B15" s="3094" t="s">
        <v>3489</v>
      </c>
      <c r="C15" s="3094" t="s">
        <v>3552</v>
      </c>
      <c r="D15" s="3094" t="s">
        <v>3152</v>
      </c>
      <c r="E15" s="3094" t="s">
        <v>3500</v>
      </c>
      <c r="F15" s="3095">
        <v>268.42</v>
      </c>
      <c r="G15" s="3096">
        <v>300</v>
      </c>
      <c r="H15" s="3094" t="s">
        <v>3555</v>
      </c>
      <c r="I15" s="3093" t="s">
        <v>3491</v>
      </c>
      <c r="J15" s="3092">
        <f t="shared" si="2"/>
        <v>10</v>
      </c>
      <c r="K15" s="3092">
        <f t="shared" si="3"/>
        <v>966312</v>
      </c>
      <c r="N15" s="3001" t="s">
        <v>3225</v>
      </c>
      <c r="O15" s="3002">
        <f>V4+V5+V7+V8+V9+V10+V11</f>
        <v>12759863.764799999</v>
      </c>
      <c r="Q15" s="2996" t="s">
        <v>3226</v>
      </c>
      <c r="R15" s="3074">
        <f>P4+P5+P8+P9+P10</f>
        <v>1303.54</v>
      </c>
    </row>
    <row r="16" spans="1:22">
      <c r="A16" s="3094" t="s">
        <v>3488</v>
      </c>
      <c r="B16" s="3094" t="s">
        <v>3489</v>
      </c>
      <c r="C16" s="3094" t="s">
        <v>3556</v>
      </c>
      <c r="D16" s="3094" t="s">
        <v>3153</v>
      </c>
      <c r="E16" s="3094" t="s">
        <v>3501</v>
      </c>
      <c r="F16" s="3095">
        <v>1624.12</v>
      </c>
      <c r="G16" s="3096">
        <v>285</v>
      </c>
      <c r="H16" s="3094" t="s">
        <v>3557</v>
      </c>
      <c r="I16" s="3093" t="s">
        <v>3491</v>
      </c>
      <c r="J16" s="3092">
        <f t="shared" si="2"/>
        <v>9.5</v>
      </c>
      <c r="K16" s="3092">
        <f t="shared" si="3"/>
        <v>5554490.3999999994</v>
      </c>
      <c r="N16" s="3001" t="s">
        <v>3219</v>
      </c>
      <c r="O16" s="3003">
        <f>P4+P5+P7+P8+P9+P10+P11</f>
        <v>5643.41</v>
      </c>
      <c r="Q16" s="2996" t="s">
        <v>3227</v>
      </c>
      <c r="R16" s="3074">
        <f>P11+P7</f>
        <v>4339.87</v>
      </c>
    </row>
    <row r="17" spans="1:15">
      <c r="A17" s="3094" t="s">
        <v>3488</v>
      </c>
      <c r="B17" s="3094" t="s">
        <v>3489</v>
      </c>
      <c r="C17" s="3094" t="s">
        <v>3558</v>
      </c>
      <c r="D17" s="3094" t="s">
        <v>3154</v>
      </c>
      <c r="E17" s="3094" t="s">
        <v>3501</v>
      </c>
      <c r="F17" s="3095">
        <v>1614.8</v>
      </c>
      <c r="G17" s="3096">
        <v>285</v>
      </c>
      <c r="H17" s="3094" t="s">
        <v>3559</v>
      </c>
      <c r="I17" s="3093" t="s">
        <v>3491</v>
      </c>
      <c r="J17" s="3092">
        <f t="shared" si="2"/>
        <v>9.5</v>
      </c>
      <c r="K17" s="3092">
        <f t="shared" si="3"/>
        <v>5522616</v>
      </c>
      <c r="N17" s="3001" t="s">
        <v>3220</v>
      </c>
      <c r="O17">
        <f>ROUND(O15/O16/365,2)</f>
        <v>6.19</v>
      </c>
    </row>
    <row r="18" spans="1:15">
      <c r="A18" s="3094" t="s">
        <v>3488</v>
      </c>
      <c r="B18" s="3094" t="s">
        <v>3489</v>
      </c>
      <c r="C18" s="3094" t="s">
        <v>3560</v>
      </c>
      <c r="D18" s="3094" t="s">
        <v>3155</v>
      </c>
      <c r="E18" s="3094" t="s">
        <v>3502</v>
      </c>
      <c r="F18" s="3095">
        <v>3183.02</v>
      </c>
      <c r="G18" s="3096">
        <v>117.00000000000001</v>
      </c>
      <c r="H18" s="3094" t="s">
        <v>3561</v>
      </c>
      <c r="I18" s="3093" t="s">
        <v>3491</v>
      </c>
      <c r="J18" s="3092">
        <f t="shared" si="2"/>
        <v>3.9</v>
      </c>
      <c r="K18" s="3092">
        <f t="shared" si="3"/>
        <v>4468960.08</v>
      </c>
    </row>
    <row r="19" spans="1:15">
      <c r="A19" s="3094" t="s">
        <v>3488</v>
      </c>
      <c r="B19" s="3094" t="s">
        <v>3489</v>
      </c>
      <c r="C19" s="3094" t="s">
        <v>3562</v>
      </c>
      <c r="D19" s="3094" t="s">
        <v>3563</v>
      </c>
      <c r="E19" s="3094" t="s">
        <v>3503</v>
      </c>
      <c r="F19" s="3095">
        <v>901.48</v>
      </c>
      <c r="G19" s="3096">
        <v>300</v>
      </c>
      <c r="H19" s="3094" t="s">
        <v>3564</v>
      </c>
      <c r="I19" s="3093" t="s">
        <v>3491</v>
      </c>
      <c r="J19" s="3092">
        <f t="shared" si="2"/>
        <v>10</v>
      </c>
      <c r="K19" s="3092">
        <f t="shared" si="3"/>
        <v>3245328</v>
      </c>
      <c r="N19" s="3001"/>
    </row>
    <row r="20" spans="1:15">
      <c r="A20" s="3094" t="s">
        <v>3488</v>
      </c>
      <c r="B20" s="3094" t="s">
        <v>3489</v>
      </c>
      <c r="C20" s="3094" t="s">
        <v>3565</v>
      </c>
      <c r="D20" s="3094" t="s">
        <v>3156</v>
      </c>
      <c r="E20" s="3098" t="s">
        <v>3626</v>
      </c>
      <c r="F20" s="3095">
        <v>177.19</v>
      </c>
      <c r="G20" s="3096">
        <v>290</v>
      </c>
      <c r="H20" s="3094" t="s">
        <v>3566</v>
      </c>
      <c r="I20" s="3093" t="s">
        <v>3491</v>
      </c>
      <c r="J20" s="3092">
        <f t="shared" si="2"/>
        <v>9.67</v>
      </c>
      <c r="K20" s="3092">
        <f t="shared" si="3"/>
        <v>616621.19999999995</v>
      </c>
      <c r="N20" s="3001"/>
      <c r="O20" s="2998"/>
    </row>
    <row r="21" spans="1:15">
      <c r="A21" s="3094" t="s">
        <v>3488</v>
      </c>
      <c r="B21" s="3094" t="s">
        <v>3504</v>
      </c>
      <c r="C21" s="3094" t="s">
        <v>3567</v>
      </c>
      <c r="D21" s="3094" t="s">
        <v>3157</v>
      </c>
      <c r="E21" s="3094" t="s">
        <v>3505</v>
      </c>
      <c r="F21" s="3095">
        <v>725.29</v>
      </c>
      <c r="G21" s="3096">
        <v>290</v>
      </c>
      <c r="H21" s="3097" t="s">
        <v>3568</v>
      </c>
      <c r="I21" s="3093" t="s">
        <v>3491</v>
      </c>
      <c r="J21" s="3092">
        <f t="shared" si="2"/>
        <v>9.67</v>
      </c>
      <c r="K21" s="3092">
        <f t="shared" si="3"/>
        <v>2524009.1999999997</v>
      </c>
      <c r="N21" s="3001"/>
      <c r="O21" s="3002"/>
    </row>
    <row r="22" spans="1:15">
      <c r="A22" s="3094" t="s">
        <v>3488</v>
      </c>
      <c r="B22" s="3094" t="s">
        <v>3489</v>
      </c>
      <c r="C22" s="3094" t="s">
        <v>3569</v>
      </c>
      <c r="D22" s="3094" t="s">
        <v>3158</v>
      </c>
      <c r="E22" s="3094" t="s">
        <v>3506</v>
      </c>
      <c r="F22" s="3095">
        <v>1487.53</v>
      </c>
      <c r="G22" s="3096">
        <v>300</v>
      </c>
      <c r="H22" s="3094" t="s">
        <v>3570</v>
      </c>
      <c r="I22" s="3093" t="s">
        <v>3491</v>
      </c>
      <c r="J22" s="3092">
        <f t="shared" si="2"/>
        <v>10</v>
      </c>
      <c r="K22" s="3092">
        <f t="shared" si="3"/>
        <v>5355108</v>
      </c>
    </row>
    <row r="23" spans="1:15">
      <c r="A23" s="3094" t="s">
        <v>3488</v>
      </c>
      <c r="B23" s="3094" t="s">
        <v>3489</v>
      </c>
      <c r="C23" s="3094" t="s">
        <v>3571</v>
      </c>
      <c r="D23" s="3094" t="s">
        <v>3159</v>
      </c>
      <c r="E23" s="3094" t="s">
        <v>3507</v>
      </c>
      <c r="F23" s="3095">
        <v>831.24</v>
      </c>
      <c r="G23" s="3096">
        <v>290</v>
      </c>
      <c r="H23" s="3094" t="s">
        <v>3572</v>
      </c>
      <c r="I23" s="3093" t="s">
        <v>3491</v>
      </c>
      <c r="J23" s="3092">
        <f t="shared" si="2"/>
        <v>9.67</v>
      </c>
      <c r="K23" s="3092">
        <f t="shared" si="3"/>
        <v>2892715.2</v>
      </c>
    </row>
    <row r="24" spans="1:15">
      <c r="A24" s="3094" t="s">
        <v>3488</v>
      </c>
      <c r="B24" s="3094" t="s">
        <v>3489</v>
      </c>
      <c r="C24" s="3094" t="s">
        <v>3573</v>
      </c>
      <c r="D24" s="3094" t="s">
        <v>3160</v>
      </c>
      <c r="E24" s="3094" t="s">
        <v>3508</v>
      </c>
      <c r="F24" s="3095">
        <v>808.78</v>
      </c>
      <c r="G24" s="3096">
        <v>280</v>
      </c>
      <c r="H24" s="3094" t="s">
        <v>3574</v>
      </c>
      <c r="I24" s="3093" t="s">
        <v>3491</v>
      </c>
      <c r="J24" s="3092">
        <f t="shared" si="2"/>
        <v>9.33</v>
      </c>
      <c r="K24" s="3092">
        <f t="shared" si="3"/>
        <v>2717500.8</v>
      </c>
    </row>
    <row r="25" spans="1:15">
      <c r="A25" s="3094" t="s">
        <v>3488</v>
      </c>
      <c r="B25" s="3094" t="s">
        <v>3509</v>
      </c>
      <c r="C25" s="3094" t="s">
        <v>3575</v>
      </c>
      <c r="D25" s="3094" t="s">
        <v>3161</v>
      </c>
      <c r="E25" s="3094" t="s">
        <v>3510</v>
      </c>
      <c r="F25" s="3095">
        <v>237.48</v>
      </c>
      <c r="G25" s="3096">
        <v>300</v>
      </c>
      <c r="H25" s="3094" t="s">
        <v>3576</v>
      </c>
      <c r="I25" s="3093" t="s">
        <v>3491</v>
      </c>
      <c r="J25" s="3092">
        <f t="shared" si="2"/>
        <v>10</v>
      </c>
      <c r="K25" s="3092">
        <f t="shared" si="3"/>
        <v>854928</v>
      </c>
    </row>
    <row r="26" spans="1:15">
      <c r="A26" s="3094" t="s">
        <v>3488</v>
      </c>
      <c r="B26" s="3094" t="s">
        <v>3509</v>
      </c>
      <c r="C26" s="3094" t="s">
        <v>3575</v>
      </c>
      <c r="D26" s="3094" t="s">
        <v>3162</v>
      </c>
      <c r="E26" s="3098" t="s">
        <v>3627</v>
      </c>
      <c r="F26" s="3095">
        <v>337.26</v>
      </c>
      <c r="G26" s="3096">
        <v>362</v>
      </c>
      <c r="H26" s="3094" t="s">
        <v>3577</v>
      </c>
      <c r="I26" s="3093" t="s">
        <v>3578</v>
      </c>
      <c r="J26" s="3092">
        <f t="shared" si="2"/>
        <v>12.07</v>
      </c>
      <c r="K26" s="3092">
        <f t="shared" si="3"/>
        <v>1465057.44</v>
      </c>
    </row>
    <row r="27" spans="1:15">
      <c r="A27" s="3094" t="s">
        <v>3488</v>
      </c>
      <c r="B27" s="3094" t="s">
        <v>3509</v>
      </c>
      <c r="C27" s="3094" t="s">
        <v>3543</v>
      </c>
      <c r="D27" s="3094" t="s">
        <v>3163</v>
      </c>
      <c r="E27" s="3094" t="s">
        <v>3511</v>
      </c>
      <c r="F27" s="3099">
        <v>340</v>
      </c>
      <c r="G27" s="3096">
        <v>285</v>
      </c>
      <c r="H27" s="3094" t="s">
        <v>3579</v>
      </c>
      <c r="I27" s="3093" t="s">
        <v>3512</v>
      </c>
      <c r="J27" s="3092">
        <f t="shared" si="2"/>
        <v>9.5</v>
      </c>
      <c r="K27" s="3092">
        <f t="shared" si="3"/>
        <v>1162800</v>
      </c>
    </row>
    <row r="28" spans="1:15">
      <c r="A28" s="3094" t="s">
        <v>3488</v>
      </c>
      <c r="B28" s="3094" t="s">
        <v>3509</v>
      </c>
      <c r="C28" s="3094" t="s">
        <v>3543</v>
      </c>
      <c r="D28" s="3094" t="s">
        <v>3164</v>
      </c>
      <c r="E28" s="3094" t="s">
        <v>3513</v>
      </c>
      <c r="F28" s="3095">
        <v>385.42</v>
      </c>
      <c r="G28" s="3096">
        <v>290</v>
      </c>
      <c r="H28" s="3094" t="s">
        <v>3580</v>
      </c>
      <c r="I28" s="3093" t="s">
        <v>3491</v>
      </c>
      <c r="J28" s="3092">
        <f t="shared" si="2"/>
        <v>9.67</v>
      </c>
      <c r="K28" s="3092">
        <f t="shared" si="3"/>
        <v>1341261.6000000001</v>
      </c>
    </row>
    <row r="29" spans="1:15">
      <c r="A29" s="3094" t="s">
        <v>3488</v>
      </c>
      <c r="B29" s="3094" t="s">
        <v>3509</v>
      </c>
      <c r="C29" s="3094" t="s">
        <v>3545</v>
      </c>
      <c r="D29" s="3094" t="s">
        <v>3165</v>
      </c>
      <c r="E29" s="3094" t="s">
        <v>3514</v>
      </c>
      <c r="F29" s="3095">
        <v>508.59</v>
      </c>
      <c r="G29" s="3096">
        <v>302</v>
      </c>
      <c r="H29" s="3094" t="s">
        <v>3581</v>
      </c>
      <c r="I29" s="3093" t="s">
        <v>3491</v>
      </c>
      <c r="J29" s="3092">
        <f t="shared" si="2"/>
        <v>10.07</v>
      </c>
      <c r="K29" s="3092">
        <f t="shared" si="3"/>
        <v>1843130.16</v>
      </c>
    </row>
    <row r="30" spans="1:15">
      <c r="A30" s="3094" t="s">
        <v>3488</v>
      </c>
      <c r="B30" s="3094" t="s">
        <v>3509</v>
      </c>
      <c r="C30" s="3094" t="s">
        <v>3545</v>
      </c>
      <c r="D30" s="3094" t="s">
        <v>3166</v>
      </c>
      <c r="E30" s="3094" t="s">
        <v>3515</v>
      </c>
      <c r="F30" s="3095">
        <v>209.53</v>
      </c>
      <c r="G30" s="3096">
        <v>280</v>
      </c>
      <c r="H30" s="3094" t="s">
        <v>3582</v>
      </c>
      <c r="I30" s="3093" t="s">
        <v>3491</v>
      </c>
      <c r="J30" s="3092">
        <f t="shared" si="2"/>
        <v>9.33</v>
      </c>
      <c r="K30" s="3092">
        <f t="shared" si="3"/>
        <v>704020.8</v>
      </c>
    </row>
    <row r="31" spans="1:15">
      <c r="A31" s="3094" t="s">
        <v>3488</v>
      </c>
      <c r="B31" s="3094" t="s">
        <v>3509</v>
      </c>
      <c r="C31" s="3094" t="s">
        <v>3545</v>
      </c>
      <c r="D31" s="3094" t="s">
        <v>3167</v>
      </c>
      <c r="E31" s="3094" t="s">
        <v>3516</v>
      </c>
      <c r="F31" s="3095">
        <v>201.36</v>
      </c>
      <c r="G31" s="3096">
        <v>280</v>
      </c>
      <c r="H31" s="3094" t="s">
        <v>3566</v>
      </c>
      <c r="I31" s="3093" t="s">
        <v>3491</v>
      </c>
      <c r="J31" s="3092">
        <f t="shared" si="2"/>
        <v>9.33</v>
      </c>
      <c r="K31" s="3092">
        <f t="shared" si="3"/>
        <v>676569.60000000009</v>
      </c>
    </row>
    <row r="32" spans="1:15">
      <c r="A32" s="3094" t="s">
        <v>3488</v>
      </c>
      <c r="B32" s="3094" t="s">
        <v>3509</v>
      </c>
      <c r="C32" s="3094" t="s">
        <v>3546</v>
      </c>
      <c r="D32" s="3094" t="s">
        <v>3168</v>
      </c>
      <c r="E32" s="3094" t="s">
        <v>3517</v>
      </c>
      <c r="F32" s="3095">
        <v>553.58000000000004</v>
      </c>
      <c r="G32" s="3096">
        <v>312</v>
      </c>
      <c r="H32" s="3094" t="s">
        <v>3583</v>
      </c>
      <c r="I32" s="3093" t="s">
        <v>3491</v>
      </c>
      <c r="J32" s="3092">
        <f t="shared" si="2"/>
        <v>10.4</v>
      </c>
      <c r="K32" s="3092">
        <f t="shared" si="3"/>
        <v>2072603.5200000003</v>
      </c>
    </row>
    <row r="33" spans="1:11">
      <c r="A33" s="3094" t="s">
        <v>3488</v>
      </c>
      <c r="B33" s="3094" t="s">
        <v>3509</v>
      </c>
      <c r="C33" s="3094" t="s">
        <v>3546</v>
      </c>
      <c r="D33" s="3094" t="s">
        <v>3169</v>
      </c>
      <c r="E33" s="3094" t="s">
        <v>3518</v>
      </c>
      <c r="F33" s="3095">
        <v>217.27</v>
      </c>
      <c r="G33" s="3096">
        <v>280</v>
      </c>
      <c r="H33" s="3094" t="s">
        <v>3584</v>
      </c>
      <c r="I33" s="3093" t="s">
        <v>3491</v>
      </c>
      <c r="J33" s="3092">
        <f t="shared" si="2"/>
        <v>9.33</v>
      </c>
      <c r="K33" s="3092">
        <f t="shared" si="3"/>
        <v>730027.20000000007</v>
      </c>
    </row>
    <row r="34" spans="1:11">
      <c r="A34" s="3094" t="s">
        <v>3488</v>
      </c>
      <c r="B34" s="3094" t="s">
        <v>3509</v>
      </c>
      <c r="C34" s="3094" t="s">
        <v>3546</v>
      </c>
      <c r="D34" s="3094" t="s">
        <v>3170</v>
      </c>
      <c r="E34" s="3094" t="s">
        <v>3519</v>
      </c>
      <c r="F34" s="3095">
        <v>338.01</v>
      </c>
      <c r="G34" s="3096">
        <v>310</v>
      </c>
      <c r="H34" s="3094" t="s">
        <v>3585</v>
      </c>
      <c r="I34" s="3093" t="s">
        <v>3491</v>
      </c>
      <c r="J34" s="3092">
        <f t="shared" si="2"/>
        <v>10.33</v>
      </c>
      <c r="K34" s="3092">
        <f t="shared" si="3"/>
        <v>1257397.2</v>
      </c>
    </row>
    <row r="35" spans="1:11">
      <c r="A35" s="3094" t="s">
        <v>3488</v>
      </c>
      <c r="B35" s="3094" t="s">
        <v>3509</v>
      </c>
      <c r="C35" s="3094" t="s">
        <v>3546</v>
      </c>
      <c r="D35" s="3094" t="s">
        <v>3171</v>
      </c>
      <c r="E35" s="3094" t="s">
        <v>3520</v>
      </c>
      <c r="F35" s="3095">
        <v>571.98</v>
      </c>
      <c r="G35" s="3096">
        <v>285</v>
      </c>
      <c r="H35" s="3094" t="s">
        <v>3586</v>
      </c>
      <c r="I35" s="3093" t="s">
        <v>3491</v>
      </c>
      <c r="J35" s="3092">
        <f t="shared" si="2"/>
        <v>9.5</v>
      </c>
      <c r="K35" s="3092">
        <f t="shared" si="3"/>
        <v>1956171.6</v>
      </c>
    </row>
    <row r="36" spans="1:11">
      <c r="A36" s="3094" t="s">
        <v>3488</v>
      </c>
      <c r="B36" s="3094" t="s">
        <v>3509</v>
      </c>
      <c r="C36" s="3094" t="s">
        <v>3549</v>
      </c>
      <c r="D36" s="3094" t="s">
        <v>3172</v>
      </c>
      <c r="E36" s="3094" t="s">
        <v>3521</v>
      </c>
      <c r="F36" s="3095">
        <v>1671.52</v>
      </c>
      <c r="G36" s="3096">
        <v>275</v>
      </c>
      <c r="H36" s="3094" t="s">
        <v>3587</v>
      </c>
      <c r="I36" s="3093" t="s">
        <v>3491</v>
      </c>
      <c r="J36" s="3092">
        <f t="shared" si="2"/>
        <v>9.17</v>
      </c>
      <c r="K36" s="3092">
        <f t="shared" si="3"/>
        <v>5516016</v>
      </c>
    </row>
    <row r="37" spans="1:11">
      <c r="A37" s="3094" t="s">
        <v>3488</v>
      </c>
      <c r="B37" s="3094" t="s">
        <v>3509</v>
      </c>
      <c r="C37" s="3094" t="s">
        <v>3588</v>
      </c>
      <c r="D37" s="3094" t="s">
        <v>3173</v>
      </c>
      <c r="E37" s="3098" t="s">
        <v>3628</v>
      </c>
      <c r="F37" s="3095">
        <v>625.30999999999995</v>
      </c>
      <c r="G37" s="3096">
        <v>292</v>
      </c>
      <c r="H37" s="3094" t="s">
        <v>3589</v>
      </c>
      <c r="I37" s="3093" t="s">
        <v>3491</v>
      </c>
      <c r="J37" s="3092">
        <f t="shared" si="2"/>
        <v>9.73</v>
      </c>
      <c r="K37" s="3092">
        <f t="shared" si="3"/>
        <v>2191086.2399999998</v>
      </c>
    </row>
    <row r="38" spans="1:11">
      <c r="A38" s="3094" t="s">
        <v>3488</v>
      </c>
      <c r="B38" s="3094" t="s">
        <v>3509</v>
      </c>
      <c r="C38" s="3094" t="s">
        <v>3588</v>
      </c>
      <c r="D38" s="3094" t="s">
        <v>3174</v>
      </c>
      <c r="E38" s="3094" t="s">
        <v>3522</v>
      </c>
      <c r="F38" s="3095">
        <v>321.07</v>
      </c>
      <c r="G38" s="3096">
        <v>320</v>
      </c>
      <c r="H38" s="3094" t="s">
        <v>3590</v>
      </c>
      <c r="I38" s="3093" t="s">
        <v>3491</v>
      </c>
      <c r="J38" s="3092">
        <f t="shared" ref="J38:J60" si="4">ROUND(G38/30,2)</f>
        <v>10.67</v>
      </c>
      <c r="K38" s="3092">
        <f t="shared" ref="K38:K60" si="5">G38*F38*12</f>
        <v>1232908.7999999998</v>
      </c>
    </row>
    <row r="39" spans="1:11">
      <c r="A39" s="3094" t="s">
        <v>3488</v>
      </c>
      <c r="B39" s="3094" t="s">
        <v>3509</v>
      </c>
      <c r="C39" s="3094" t="s">
        <v>3552</v>
      </c>
      <c r="D39" s="3094" t="s">
        <v>3175</v>
      </c>
      <c r="E39" s="3094" t="s">
        <v>3523</v>
      </c>
      <c r="F39" s="3095">
        <v>206</v>
      </c>
      <c r="G39" s="3096">
        <v>290</v>
      </c>
      <c r="H39" s="3094" t="s">
        <v>3591</v>
      </c>
      <c r="I39" s="3093" t="s">
        <v>3491</v>
      </c>
      <c r="J39" s="3092">
        <f t="shared" si="4"/>
        <v>9.67</v>
      </c>
      <c r="K39" s="3092">
        <f t="shared" si="5"/>
        <v>716880</v>
      </c>
    </row>
    <row r="40" spans="1:11">
      <c r="A40" s="3094" t="s">
        <v>3488</v>
      </c>
      <c r="B40" s="3094" t="s">
        <v>3509</v>
      </c>
      <c r="C40" s="3094" t="s">
        <v>3552</v>
      </c>
      <c r="D40" s="3094" t="s">
        <v>3176</v>
      </c>
      <c r="E40" s="3094" t="s">
        <v>3524</v>
      </c>
      <c r="F40" s="3095">
        <v>242.27</v>
      </c>
      <c r="G40" s="3096">
        <v>320</v>
      </c>
      <c r="H40" s="3094" t="s">
        <v>3592</v>
      </c>
      <c r="I40" s="3093" t="s">
        <v>3512</v>
      </c>
      <c r="J40" s="3092">
        <f t="shared" si="4"/>
        <v>10.67</v>
      </c>
      <c r="K40" s="3092">
        <f t="shared" si="5"/>
        <v>930316.80000000005</v>
      </c>
    </row>
    <row r="41" spans="1:11">
      <c r="A41" s="3094" t="s">
        <v>3488</v>
      </c>
      <c r="B41" s="3094" t="s">
        <v>3509</v>
      </c>
      <c r="C41" s="3094" t="s">
        <v>3552</v>
      </c>
      <c r="D41" s="3094" t="s">
        <v>3177</v>
      </c>
      <c r="E41" s="3094" t="s">
        <v>3525</v>
      </c>
      <c r="F41" s="3095">
        <v>755.75</v>
      </c>
      <c r="G41" s="3096">
        <v>310</v>
      </c>
      <c r="H41" s="3094" t="s">
        <v>3593</v>
      </c>
      <c r="I41" s="3093" t="s">
        <v>3491</v>
      </c>
      <c r="J41" s="3092">
        <f t="shared" si="4"/>
        <v>10.33</v>
      </c>
      <c r="K41" s="3092">
        <f t="shared" si="5"/>
        <v>2811390</v>
      </c>
    </row>
    <row r="42" spans="1:11">
      <c r="A42" s="3094" t="s">
        <v>3488</v>
      </c>
      <c r="B42" s="3094" t="s">
        <v>3509</v>
      </c>
      <c r="C42" s="3094" t="s">
        <v>3558</v>
      </c>
      <c r="D42" s="3094" t="s">
        <v>3178</v>
      </c>
      <c r="E42" s="3094" t="s">
        <v>3526</v>
      </c>
      <c r="F42" s="3095">
        <v>201.77</v>
      </c>
      <c r="G42" s="3096">
        <v>290</v>
      </c>
      <c r="H42" s="3094" t="s">
        <v>3594</v>
      </c>
      <c r="I42" s="3093" t="s">
        <v>3491</v>
      </c>
      <c r="J42" s="3092">
        <f t="shared" si="4"/>
        <v>9.67</v>
      </c>
      <c r="K42" s="3092">
        <f t="shared" si="5"/>
        <v>702159.60000000009</v>
      </c>
    </row>
    <row r="43" spans="1:11">
      <c r="A43" s="3094" t="s">
        <v>3488</v>
      </c>
      <c r="B43" s="3094" t="s">
        <v>3509</v>
      </c>
      <c r="C43" s="3094" t="s">
        <v>3558</v>
      </c>
      <c r="D43" s="3094" t="s">
        <v>3179</v>
      </c>
      <c r="E43" s="3094" t="s">
        <v>3526</v>
      </c>
      <c r="F43" s="3095">
        <v>242.6</v>
      </c>
      <c r="G43" s="3096">
        <v>290</v>
      </c>
      <c r="H43" s="3094" t="s">
        <v>3595</v>
      </c>
      <c r="I43" s="3093" t="s">
        <v>3491</v>
      </c>
      <c r="J43" s="3092">
        <f t="shared" si="4"/>
        <v>9.67</v>
      </c>
      <c r="K43" s="3092">
        <f t="shared" si="5"/>
        <v>844248</v>
      </c>
    </row>
    <row r="44" spans="1:11">
      <c r="A44" s="3094" t="s">
        <v>3488</v>
      </c>
      <c r="B44" s="3094" t="s">
        <v>3509</v>
      </c>
      <c r="C44" s="3094" t="s">
        <v>3558</v>
      </c>
      <c r="D44" s="3094" t="s">
        <v>3180</v>
      </c>
      <c r="E44" s="3094" t="s">
        <v>3527</v>
      </c>
      <c r="F44" s="3095">
        <v>435.15</v>
      </c>
      <c r="G44" s="3096">
        <v>280</v>
      </c>
      <c r="H44" s="3094" t="s">
        <v>3596</v>
      </c>
      <c r="I44" s="3093" t="s">
        <v>3491</v>
      </c>
      <c r="J44" s="3092">
        <f t="shared" si="4"/>
        <v>9.33</v>
      </c>
      <c r="K44" s="3092">
        <f t="shared" si="5"/>
        <v>1462104</v>
      </c>
    </row>
    <row r="45" spans="1:11">
      <c r="A45" s="3094" t="s">
        <v>3488</v>
      </c>
      <c r="B45" s="3094" t="s">
        <v>3509</v>
      </c>
      <c r="C45" s="3094" t="s">
        <v>3558</v>
      </c>
      <c r="D45" s="3094" t="s">
        <v>3181</v>
      </c>
      <c r="E45" s="3094" t="s">
        <v>3526</v>
      </c>
      <c r="F45" s="3095">
        <v>311.05</v>
      </c>
      <c r="G45" s="3096">
        <v>290</v>
      </c>
      <c r="H45" s="3094" t="s">
        <v>3597</v>
      </c>
      <c r="I45" s="3093" t="s">
        <v>3491</v>
      </c>
      <c r="J45" s="3092">
        <f t="shared" si="4"/>
        <v>9.67</v>
      </c>
      <c r="K45" s="3092">
        <f t="shared" si="5"/>
        <v>1082454</v>
      </c>
    </row>
    <row r="46" spans="1:11">
      <c r="A46" s="3094" t="s">
        <v>3488</v>
      </c>
      <c r="B46" s="3094" t="s">
        <v>3509</v>
      </c>
      <c r="C46" s="3094" t="s">
        <v>3560</v>
      </c>
      <c r="D46" s="3094" t="s">
        <v>3182</v>
      </c>
      <c r="E46" s="3094" t="s">
        <v>3528</v>
      </c>
      <c r="F46" s="3095">
        <v>854.58</v>
      </c>
      <c r="G46" s="3096">
        <v>278</v>
      </c>
      <c r="H46" s="3094" t="s">
        <v>3598</v>
      </c>
      <c r="I46" s="3093" t="s">
        <v>3491</v>
      </c>
      <c r="J46" s="3092">
        <f t="shared" si="4"/>
        <v>9.27</v>
      </c>
      <c r="K46" s="3092">
        <f t="shared" si="5"/>
        <v>2850878.8800000004</v>
      </c>
    </row>
    <row r="47" spans="1:11">
      <c r="A47" s="3094" t="s">
        <v>3488</v>
      </c>
      <c r="B47" s="3094" t="s">
        <v>3509</v>
      </c>
      <c r="C47" s="3094" t="s">
        <v>3560</v>
      </c>
      <c r="D47" s="3094" t="s">
        <v>3183</v>
      </c>
      <c r="E47" s="3094" t="s">
        <v>3529</v>
      </c>
      <c r="F47" s="3095">
        <v>431.05</v>
      </c>
      <c r="G47" s="3096">
        <v>295</v>
      </c>
      <c r="H47" s="3094" t="s">
        <v>3561</v>
      </c>
      <c r="I47" s="3093" t="s">
        <v>3491</v>
      </c>
      <c r="J47" s="3092">
        <f t="shared" si="4"/>
        <v>9.83</v>
      </c>
      <c r="K47" s="3092">
        <f t="shared" si="5"/>
        <v>1525917</v>
      </c>
    </row>
    <row r="48" spans="1:11">
      <c r="A48" s="3094" t="s">
        <v>3488</v>
      </c>
      <c r="B48" s="3094" t="s">
        <v>3509</v>
      </c>
      <c r="C48" s="3094" t="s">
        <v>3560</v>
      </c>
      <c r="D48" s="3094" t="s">
        <v>3184</v>
      </c>
      <c r="E48" s="3094" t="s">
        <v>3530</v>
      </c>
      <c r="F48" s="3095">
        <v>311.33</v>
      </c>
      <c r="G48" s="3096">
        <v>285</v>
      </c>
      <c r="H48" s="3094" t="s">
        <v>3599</v>
      </c>
      <c r="I48" s="3093" t="s">
        <v>3491</v>
      </c>
      <c r="J48" s="3092">
        <f t="shared" si="4"/>
        <v>9.5</v>
      </c>
      <c r="K48" s="3092">
        <f t="shared" si="5"/>
        <v>1064748.5999999999</v>
      </c>
    </row>
    <row r="49" spans="1:11">
      <c r="A49" s="3094" t="s">
        <v>3488</v>
      </c>
      <c r="B49" s="3094" t="s">
        <v>3509</v>
      </c>
      <c r="C49" s="3094" t="s">
        <v>3600</v>
      </c>
      <c r="D49" s="3094" t="s">
        <v>3185</v>
      </c>
      <c r="E49" s="3094" t="s">
        <v>3531</v>
      </c>
      <c r="F49" s="3095">
        <v>668.98</v>
      </c>
      <c r="G49" s="3096">
        <v>260</v>
      </c>
      <c r="H49" s="3094" t="s">
        <v>3601</v>
      </c>
      <c r="I49" s="3093" t="s">
        <v>3491</v>
      </c>
      <c r="J49" s="3092">
        <f t="shared" si="4"/>
        <v>8.67</v>
      </c>
      <c r="K49" s="3092">
        <f t="shared" si="5"/>
        <v>2087217.6</v>
      </c>
    </row>
    <row r="50" spans="1:11">
      <c r="A50" s="3094" t="s">
        <v>3488</v>
      </c>
      <c r="B50" s="3094" t="s">
        <v>3509</v>
      </c>
      <c r="C50" s="3094" t="s">
        <v>3602</v>
      </c>
      <c r="D50" s="3094" t="s">
        <v>3186</v>
      </c>
      <c r="E50" s="3094" t="s">
        <v>3532</v>
      </c>
      <c r="F50" s="3095">
        <v>1562.17</v>
      </c>
      <c r="G50" s="3096">
        <v>280</v>
      </c>
      <c r="H50" s="3094" t="s">
        <v>3603</v>
      </c>
      <c r="I50" s="3093" t="s">
        <v>3491</v>
      </c>
      <c r="J50" s="3092">
        <f t="shared" si="4"/>
        <v>9.33</v>
      </c>
      <c r="K50" s="3092">
        <f t="shared" si="5"/>
        <v>5248891.2</v>
      </c>
    </row>
    <row r="51" spans="1:11">
      <c r="A51" s="3094" t="s">
        <v>3488</v>
      </c>
      <c r="B51" s="3094" t="s">
        <v>3509</v>
      </c>
      <c r="C51" s="3094" t="s">
        <v>3604</v>
      </c>
      <c r="D51" s="3094" t="s">
        <v>3605</v>
      </c>
      <c r="E51" s="3094" t="s">
        <v>3533</v>
      </c>
      <c r="F51" s="3095">
        <v>893.74</v>
      </c>
      <c r="G51" s="3096">
        <v>285</v>
      </c>
      <c r="H51" s="3094" t="s">
        <v>3606</v>
      </c>
      <c r="I51" s="3093" t="s">
        <v>3491</v>
      </c>
      <c r="J51" s="3092">
        <f t="shared" si="4"/>
        <v>9.5</v>
      </c>
      <c r="K51" s="3092">
        <f t="shared" si="5"/>
        <v>3056590.8</v>
      </c>
    </row>
    <row r="52" spans="1:11">
      <c r="A52" s="3094" t="s">
        <v>3488</v>
      </c>
      <c r="B52" s="3094" t="s">
        <v>3509</v>
      </c>
      <c r="C52" s="3094" t="s">
        <v>3604</v>
      </c>
      <c r="D52" s="3094" t="s">
        <v>3187</v>
      </c>
      <c r="E52" s="3094" t="s">
        <v>3534</v>
      </c>
      <c r="F52" s="3095">
        <v>417.01</v>
      </c>
      <c r="G52" s="3096">
        <v>285</v>
      </c>
      <c r="H52" s="3094" t="s">
        <v>3607</v>
      </c>
      <c r="I52" s="3093" t="s">
        <v>3491</v>
      </c>
      <c r="J52" s="3092">
        <f t="shared" si="4"/>
        <v>9.5</v>
      </c>
      <c r="K52" s="3092">
        <f t="shared" si="5"/>
        <v>1426174.2</v>
      </c>
    </row>
    <row r="53" spans="1:11">
      <c r="A53" s="3094" t="s">
        <v>3488</v>
      </c>
      <c r="B53" s="3094" t="s">
        <v>3509</v>
      </c>
      <c r="C53" s="3094" t="s">
        <v>3608</v>
      </c>
      <c r="D53" s="3094" t="s">
        <v>3188</v>
      </c>
      <c r="E53" s="3094" t="s">
        <v>3535</v>
      </c>
      <c r="F53" s="3095">
        <v>177.3</v>
      </c>
      <c r="G53" s="3096">
        <v>290</v>
      </c>
      <c r="H53" s="3094" t="s">
        <v>3609</v>
      </c>
      <c r="I53" s="3093" t="s">
        <v>3491</v>
      </c>
      <c r="J53" s="3092">
        <f t="shared" si="4"/>
        <v>9.67</v>
      </c>
      <c r="K53" s="3092">
        <f t="shared" si="5"/>
        <v>617004</v>
      </c>
    </row>
    <row r="54" spans="1:11">
      <c r="A54" s="3094" t="s">
        <v>3488</v>
      </c>
      <c r="B54" s="3094" t="s">
        <v>3509</v>
      </c>
      <c r="C54" s="3094" t="s">
        <v>3608</v>
      </c>
      <c r="D54" s="3094" t="s">
        <v>3189</v>
      </c>
      <c r="E54" s="3094" t="s">
        <v>3536</v>
      </c>
      <c r="F54" s="3095">
        <v>192.27</v>
      </c>
      <c r="G54" s="3096">
        <v>290</v>
      </c>
      <c r="H54" s="3094" t="s">
        <v>3609</v>
      </c>
      <c r="I54" s="3093" t="s">
        <v>3491</v>
      </c>
      <c r="J54" s="3092">
        <f t="shared" si="4"/>
        <v>9.67</v>
      </c>
      <c r="K54" s="3092">
        <f t="shared" si="5"/>
        <v>669099.60000000009</v>
      </c>
    </row>
    <row r="55" spans="1:11">
      <c r="A55" s="3094" t="s">
        <v>3488</v>
      </c>
      <c r="B55" s="3094" t="s">
        <v>3509</v>
      </c>
      <c r="C55" s="3094" t="s">
        <v>3608</v>
      </c>
      <c r="D55" s="3094" t="s">
        <v>3190</v>
      </c>
      <c r="E55" s="3094" t="s">
        <v>3537</v>
      </c>
      <c r="F55" s="3095">
        <v>672.57</v>
      </c>
      <c r="G55" s="3096">
        <v>280</v>
      </c>
      <c r="H55" s="3094" t="s">
        <v>3610</v>
      </c>
      <c r="I55" s="3093" t="s">
        <v>3491</v>
      </c>
      <c r="J55" s="3092">
        <f t="shared" si="4"/>
        <v>9.33</v>
      </c>
      <c r="K55" s="3092">
        <f t="shared" si="5"/>
        <v>2259835.2000000002</v>
      </c>
    </row>
    <row r="56" spans="1:11">
      <c r="A56" s="3094" t="s">
        <v>3488</v>
      </c>
      <c r="B56" s="3094" t="s">
        <v>3509</v>
      </c>
      <c r="C56" s="3094" t="s">
        <v>3608</v>
      </c>
      <c r="D56" s="3094" t="s">
        <v>3191</v>
      </c>
      <c r="E56" s="3094" t="s">
        <v>3538</v>
      </c>
      <c r="F56" s="3095">
        <v>459.63</v>
      </c>
      <c r="G56" s="3096">
        <v>290</v>
      </c>
      <c r="H56" s="3094" t="s">
        <v>3611</v>
      </c>
      <c r="I56" s="3093" t="s">
        <v>3491</v>
      </c>
      <c r="J56" s="3092">
        <f t="shared" si="4"/>
        <v>9.67</v>
      </c>
      <c r="K56" s="3092">
        <f t="shared" si="5"/>
        <v>1599512.4000000001</v>
      </c>
    </row>
    <row r="57" spans="1:11">
      <c r="A57" s="3094" t="s">
        <v>3488</v>
      </c>
      <c r="B57" s="3094" t="s">
        <v>3509</v>
      </c>
      <c r="C57" s="3094" t="s">
        <v>3569</v>
      </c>
      <c r="D57" s="3094" t="s">
        <v>3192</v>
      </c>
      <c r="E57" s="3094" t="s">
        <v>3539</v>
      </c>
      <c r="F57" s="3095">
        <v>1488.27</v>
      </c>
      <c r="G57" s="3096">
        <v>290</v>
      </c>
      <c r="H57" s="3094" t="s">
        <v>3612</v>
      </c>
      <c r="I57" s="3093" t="s">
        <v>3491</v>
      </c>
      <c r="J57" s="3092">
        <f t="shared" si="4"/>
        <v>9.67</v>
      </c>
      <c r="K57" s="3092">
        <f t="shared" si="5"/>
        <v>5179179.5999999996</v>
      </c>
    </row>
    <row r="58" spans="1:11">
      <c r="A58" s="3094" t="s">
        <v>3488</v>
      </c>
      <c r="B58" s="3094" t="s">
        <v>3509</v>
      </c>
      <c r="C58" s="3094" t="s">
        <v>3571</v>
      </c>
      <c r="D58" s="3094" t="s">
        <v>3193</v>
      </c>
      <c r="E58" s="3094" t="s">
        <v>3540</v>
      </c>
      <c r="F58" s="3095">
        <v>237.87</v>
      </c>
      <c r="G58" s="3096">
        <v>272</v>
      </c>
      <c r="H58" s="3094" t="s">
        <v>3613</v>
      </c>
      <c r="I58" s="3093" t="s">
        <v>3512</v>
      </c>
      <c r="J58" s="3092">
        <f t="shared" si="4"/>
        <v>9.07</v>
      </c>
      <c r="K58" s="3092">
        <f t="shared" si="5"/>
        <v>776407.67999999993</v>
      </c>
    </row>
    <row r="59" spans="1:11">
      <c r="A59" s="3094" t="s">
        <v>3488</v>
      </c>
      <c r="B59" s="3094" t="s">
        <v>3509</v>
      </c>
      <c r="C59" s="3094" t="s">
        <v>3573</v>
      </c>
      <c r="D59" s="3094" t="s">
        <v>3614</v>
      </c>
      <c r="E59" s="3094" t="s">
        <v>3541</v>
      </c>
      <c r="F59" s="3095">
        <v>809.18</v>
      </c>
      <c r="G59" s="3096">
        <v>307</v>
      </c>
      <c r="H59" s="3094" t="s">
        <v>3615</v>
      </c>
      <c r="I59" s="3093" t="s">
        <v>3491</v>
      </c>
      <c r="J59" s="3092">
        <f t="shared" si="4"/>
        <v>10.23</v>
      </c>
      <c r="K59" s="3092">
        <f t="shared" si="5"/>
        <v>2981019.1199999996</v>
      </c>
    </row>
    <row r="60" spans="1:11">
      <c r="A60" s="3094" t="s">
        <v>3488</v>
      </c>
      <c r="B60" s="3094" t="s">
        <v>3509</v>
      </c>
      <c r="C60" s="3094" t="s">
        <v>3616</v>
      </c>
      <c r="D60" s="3094" t="s">
        <v>3194</v>
      </c>
      <c r="E60" s="3094" t="s">
        <v>3542</v>
      </c>
      <c r="F60" s="3095">
        <v>689.25</v>
      </c>
      <c r="G60" s="3096">
        <v>172</v>
      </c>
      <c r="H60" s="3094" t="s">
        <v>3617</v>
      </c>
      <c r="I60" s="3093" t="s">
        <v>3491</v>
      </c>
      <c r="J60" s="3092">
        <f t="shared" si="4"/>
        <v>5.73</v>
      </c>
      <c r="K60" s="3092">
        <f t="shared" si="5"/>
        <v>1422612</v>
      </c>
    </row>
    <row r="61" spans="1:11">
      <c r="A61" s="3091"/>
      <c r="B61" s="3091"/>
      <c r="C61" s="3436" t="s">
        <v>3637</v>
      </c>
      <c r="D61" s="3437"/>
      <c r="E61" s="3437"/>
      <c r="F61" s="3437"/>
      <c r="G61" s="3437"/>
      <c r="H61" s="3437"/>
      <c r="I61" s="3437"/>
      <c r="J61" s="3091"/>
      <c r="K61" s="3091"/>
    </row>
    <row r="62" spans="1:11">
      <c r="A62" s="3091"/>
      <c r="B62" s="3091"/>
      <c r="C62" s="3437"/>
      <c r="D62" s="3437"/>
      <c r="E62" s="3437"/>
      <c r="F62" s="3437"/>
      <c r="G62" s="3437"/>
      <c r="H62" s="3437"/>
      <c r="I62" s="3437"/>
      <c r="J62" s="3091"/>
      <c r="K62" s="3091"/>
    </row>
    <row r="63" spans="1:11">
      <c r="A63" s="3091"/>
      <c r="B63" s="3091"/>
      <c r="C63" s="3439" t="s">
        <v>3141</v>
      </c>
      <c r="D63" s="3441" t="s">
        <v>3142</v>
      </c>
      <c r="E63" s="3441" t="s">
        <v>3196</v>
      </c>
      <c r="F63" s="3443" t="s">
        <v>3143</v>
      </c>
      <c r="G63" s="3444"/>
      <c r="H63" s="3441" t="s">
        <v>3198</v>
      </c>
      <c r="I63" s="3464" t="s">
        <v>3199</v>
      </c>
      <c r="J63" s="3091"/>
      <c r="K63" s="3091"/>
    </row>
    <row r="64" spans="1:11">
      <c r="A64" s="3091"/>
      <c r="B64" s="3091"/>
      <c r="C64" s="3440"/>
      <c r="D64" s="3442"/>
      <c r="E64" s="3442"/>
      <c r="F64" s="3445"/>
      <c r="G64" s="3446"/>
      <c r="H64" s="3442"/>
      <c r="I64" s="3465"/>
      <c r="J64" s="3091"/>
      <c r="K64" s="3091"/>
    </row>
    <row r="65" spans="1:11">
      <c r="A65" s="3091"/>
      <c r="B65" s="3091"/>
      <c r="C65" s="3100" t="s">
        <v>3629</v>
      </c>
      <c r="D65" s="3101" t="s">
        <v>3630</v>
      </c>
      <c r="E65" s="3102">
        <v>500</v>
      </c>
      <c r="F65" s="3450" t="s">
        <v>3202</v>
      </c>
      <c r="G65" s="3451"/>
      <c r="H65" s="3103">
        <v>10.73</v>
      </c>
      <c r="I65" s="2990" t="s">
        <v>3145</v>
      </c>
      <c r="J65" s="3091"/>
      <c r="K65" s="3091"/>
    </row>
    <row r="66" spans="1:11">
      <c r="F66">
        <f>SUM(F6:F60)</f>
        <v>37501.99</v>
      </c>
      <c r="K66">
        <f>SUM(K6:K60)</f>
        <v>121131173.03999998</v>
      </c>
    </row>
    <row r="67" spans="1:11">
      <c r="A67" s="2997" t="s">
        <v>3110</v>
      </c>
    </row>
    <row r="68" spans="1:11">
      <c r="A68" s="2997" t="s">
        <v>3217</v>
      </c>
      <c r="B68" s="2998">
        <v>44135</v>
      </c>
    </row>
    <row r="69" spans="1:11">
      <c r="A69" s="2997" t="s">
        <v>3218</v>
      </c>
      <c r="B69">
        <f>K66</f>
        <v>121131173.03999998</v>
      </c>
    </row>
    <row r="70" spans="1:11">
      <c r="A70" s="2997" t="s">
        <v>3219</v>
      </c>
      <c r="B70">
        <f>F66</f>
        <v>37501.99</v>
      </c>
    </row>
    <row r="71" spans="1:11">
      <c r="A71" s="2997" t="s">
        <v>3220</v>
      </c>
      <c r="B71">
        <f>ROUND(B69/B70/365,2)</f>
        <v>8.85</v>
      </c>
    </row>
  </sheetData>
  <mergeCells count="38">
    <mergeCell ref="F65:G65"/>
    <mergeCell ref="Q11:R11"/>
    <mergeCell ref="J4:J5"/>
    <mergeCell ref="K4:K5"/>
    <mergeCell ref="O10:O11"/>
    <mergeCell ref="Q8:R8"/>
    <mergeCell ref="Q9:R9"/>
    <mergeCell ref="Q10:R10"/>
    <mergeCell ref="F4:F5"/>
    <mergeCell ref="G4:G5"/>
    <mergeCell ref="H4:H5"/>
    <mergeCell ref="I4:I5"/>
    <mergeCell ref="H63:H64"/>
    <mergeCell ref="I63:I64"/>
    <mergeCell ref="N1:T1"/>
    <mergeCell ref="Q4:R4"/>
    <mergeCell ref="Q5:R5"/>
    <mergeCell ref="Q6:R6"/>
    <mergeCell ref="Q7:R7"/>
    <mergeCell ref="N2:N3"/>
    <mergeCell ref="O2:O3"/>
    <mergeCell ref="P2:P3"/>
    <mergeCell ref="Q2:Q3"/>
    <mergeCell ref="R2:R3"/>
    <mergeCell ref="S2:S3"/>
    <mergeCell ref="T2:T3"/>
    <mergeCell ref="A2:K3"/>
    <mergeCell ref="A1:K1"/>
    <mergeCell ref="C61:I62"/>
    <mergeCell ref="C63:C64"/>
    <mergeCell ref="D63:D64"/>
    <mergeCell ref="E63:E64"/>
    <mergeCell ref="F63:G64"/>
    <mergeCell ref="A4:A5"/>
    <mergeCell ref="B4:B5"/>
    <mergeCell ref="C4:C5"/>
    <mergeCell ref="D4:D5"/>
    <mergeCell ref="E4:E5"/>
  </mergeCells>
  <phoneticPr fontId="144" type="noConversion"/>
  <printOptions horizontalCentered="1" verticalCentered="1"/>
  <pageMargins left="0.70866141732283472" right="0.70866141732283472" top="0.74803149606299213" bottom="0.74803149606299213" header="0.31496062992125984" footer="0.31496062992125984"/>
  <pageSetup paperSize="9" scale="38" fitToHeight="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10" workbookViewId="0">
      <selection activeCell="C4" sqref="C4"/>
    </sheetView>
  </sheetViews>
  <sheetFormatPr defaultRowHeight="13.5"/>
  <cols>
    <col min="2" max="2" width="10.375" customWidth="1"/>
    <col min="5" max="5" width="11.375" customWidth="1"/>
    <col min="9" max="9" width="11" bestFit="1" customWidth="1"/>
    <col min="12" max="12" width="12.125" bestFit="1" customWidth="1"/>
  </cols>
  <sheetData>
    <row r="1" spans="1:9">
      <c r="A1" s="2996" t="s">
        <v>3288</v>
      </c>
    </row>
    <row r="2" spans="1:9">
      <c r="A2" s="3436" t="s">
        <v>3289</v>
      </c>
      <c r="B2" s="3436" t="s">
        <v>3290</v>
      </c>
      <c r="C2" s="3436" t="s">
        <v>3291</v>
      </c>
      <c r="D2" s="3436" t="s">
        <v>3292</v>
      </c>
      <c r="E2" s="3436" t="s">
        <v>3293</v>
      </c>
      <c r="F2" s="3436"/>
      <c r="H2" s="3012"/>
      <c r="I2" s="2996" t="s">
        <v>3313</v>
      </c>
    </row>
    <row r="3" spans="1:9">
      <c r="A3" s="3436"/>
      <c r="B3" s="3436"/>
      <c r="C3" s="3436"/>
      <c r="D3" s="3436"/>
      <c r="E3" s="2954" t="s">
        <v>3294</v>
      </c>
      <c r="F3" s="2954" t="s">
        <v>3295</v>
      </c>
    </row>
    <row r="4" spans="1:9">
      <c r="A4" s="3000">
        <v>1</v>
      </c>
      <c r="B4" s="3000">
        <v>3</v>
      </c>
      <c r="C4" s="3000">
        <v>1558.86</v>
      </c>
      <c r="D4" s="2999" t="s">
        <v>3296</v>
      </c>
      <c r="E4" s="2999" t="s">
        <v>3298</v>
      </c>
      <c r="F4" s="3000">
        <v>3</v>
      </c>
    </row>
    <row r="5" spans="1:9">
      <c r="A5" s="3000">
        <v>2</v>
      </c>
      <c r="B5" s="3000">
        <v>4</v>
      </c>
      <c r="C5" s="3000">
        <v>1588.13</v>
      </c>
      <c r="D5" s="2999" t="s">
        <v>3297</v>
      </c>
      <c r="E5" s="2999" t="s">
        <v>3300</v>
      </c>
      <c r="F5" s="3000">
        <v>4</v>
      </c>
    </row>
    <row r="6" spans="1:9">
      <c r="A6" s="3000">
        <v>3</v>
      </c>
      <c r="B6" s="3000">
        <v>5</v>
      </c>
      <c r="C6" s="3000">
        <v>1580.93</v>
      </c>
      <c r="D6" s="2999" t="s">
        <v>3297</v>
      </c>
      <c r="E6" s="2999" t="s">
        <v>3301</v>
      </c>
      <c r="F6" s="3000">
        <v>5</v>
      </c>
    </row>
    <row r="7" spans="1:9">
      <c r="A7" s="3000">
        <v>4</v>
      </c>
      <c r="B7" s="3000">
        <v>6</v>
      </c>
      <c r="C7" s="3000">
        <v>1573.73</v>
      </c>
      <c r="D7" s="2999" t="s">
        <v>3297</v>
      </c>
      <c r="E7" s="2999" t="s">
        <v>3299</v>
      </c>
      <c r="F7" s="3000">
        <v>6</v>
      </c>
    </row>
    <row r="8" spans="1:9">
      <c r="A8" s="3000">
        <v>5</v>
      </c>
      <c r="B8" s="3000">
        <v>7</v>
      </c>
      <c r="C8" s="3000">
        <v>1559.33</v>
      </c>
      <c r="D8" s="2999" t="s">
        <v>3297</v>
      </c>
      <c r="E8" s="2999" t="s">
        <v>3301</v>
      </c>
      <c r="F8" s="3000">
        <v>7</v>
      </c>
    </row>
    <row r="9" spans="1:9">
      <c r="A9" s="3000">
        <v>6</v>
      </c>
      <c r="B9" s="3000">
        <v>8</v>
      </c>
      <c r="C9" s="3000">
        <v>1552.13</v>
      </c>
      <c r="D9" s="2999" t="s">
        <v>3297</v>
      </c>
      <c r="E9" s="2999" t="s">
        <v>3299</v>
      </c>
      <c r="F9" s="3000">
        <v>8</v>
      </c>
    </row>
    <row r="10" spans="1:9">
      <c r="A10" s="3000">
        <v>7</v>
      </c>
      <c r="B10" s="3000">
        <v>9</v>
      </c>
      <c r="C10" s="3000">
        <v>1537.73</v>
      </c>
      <c r="D10" s="2999" t="s">
        <v>3297</v>
      </c>
      <c r="E10" s="2999" t="s">
        <v>3301</v>
      </c>
      <c r="F10" s="3000">
        <v>9</v>
      </c>
    </row>
    <row r="11" spans="1:9">
      <c r="A11" s="3000">
        <v>8</v>
      </c>
      <c r="B11" s="3000">
        <v>10</v>
      </c>
      <c r="C11" s="3000">
        <v>1530.53</v>
      </c>
      <c r="D11" s="2999" t="s">
        <v>3297</v>
      </c>
      <c r="E11" s="2999" t="s">
        <v>3299</v>
      </c>
      <c r="F11" s="3000">
        <v>10</v>
      </c>
    </row>
    <row r="12" spans="1:9">
      <c r="A12" s="3000">
        <v>9</v>
      </c>
      <c r="B12" s="3000">
        <v>11</v>
      </c>
      <c r="C12" s="3000">
        <v>1516.13</v>
      </c>
      <c r="D12" s="2999" t="s">
        <v>3297</v>
      </c>
      <c r="E12" s="2999" t="s">
        <v>3301</v>
      </c>
      <c r="F12" s="3000">
        <v>11</v>
      </c>
    </row>
    <row r="13" spans="1:9">
      <c r="A13" s="3000">
        <v>10</v>
      </c>
      <c r="B13" s="3000">
        <v>12</v>
      </c>
      <c r="C13" s="3000">
        <v>1508.93</v>
      </c>
      <c r="D13" s="2999" t="s">
        <v>3297</v>
      </c>
      <c r="E13" s="2999" t="s">
        <v>3299</v>
      </c>
      <c r="F13" s="3000">
        <v>12</v>
      </c>
    </row>
    <row r="14" spans="1:9">
      <c r="A14" s="3000">
        <v>11</v>
      </c>
      <c r="B14" s="3000">
        <v>13</v>
      </c>
      <c r="C14" s="3000">
        <v>1494.53</v>
      </c>
      <c r="D14" s="2999" t="s">
        <v>3297</v>
      </c>
      <c r="E14" s="2999" t="s">
        <v>3301</v>
      </c>
      <c r="F14" s="3000">
        <v>13</v>
      </c>
    </row>
    <row r="15" spans="1:9">
      <c r="A15" s="3000">
        <v>12</v>
      </c>
      <c r="B15" s="3000">
        <v>14</v>
      </c>
      <c r="C15" s="3000">
        <v>1487.33</v>
      </c>
      <c r="D15" s="2999" t="s">
        <v>3297</v>
      </c>
      <c r="E15" s="2999" t="s">
        <v>3299</v>
      </c>
      <c r="F15" s="3000">
        <v>14</v>
      </c>
    </row>
    <row r="16" spans="1:9">
      <c r="A16" s="3000">
        <v>13</v>
      </c>
      <c r="B16" s="3000">
        <v>15</v>
      </c>
      <c r="C16" s="3000">
        <v>1472.93</v>
      </c>
      <c r="D16" s="2999" t="s">
        <v>3297</v>
      </c>
      <c r="E16" s="2999" t="s">
        <v>3301</v>
      </c>
      <c r="F16" s="3000">
        <v>15</v>
      </c>
    </row>
    <row r="17" spans="1:13">
      <c r="A17" s="3000">
        <v>14</v>
      </c>
      <c r="B17" s="3000">
        <v>16</v>
      </c>
      <c r="C17" s="3000">
        <v>1465.73</v>
      </c>
      <c r="D17" s="2999" t="s">
        <v>3297</v>
      </c>
      <c r="E17" s="2999" t="s">
        <v>3299</v>
      </c>
      <c r="F17" s="3000">
        <v>16</v>
      </c>
    </row>
    <row r="18" spans="1:13">
      <c r="A18" s="3000">
        <v>15</v>
      </c>
      <c r="B18" s="3000">
        <v>17</v>
      </c>
      <c r="C18" s="3000">
        <v>1451.33</v>
      </c>
      <c r="D18" s="2999" t="s">
        <v>3297</v>
      </c>
      <c r="E18" s="2999" t="s">
        <v>3301</v>
      </c>
      <c r="F18" s="3000">
        <v>17</v>
      </c>
    </row>
    <row r="19" spans="1:13">
      <c r="A19" s="3000">
        <v>16</v>
      </c>
      <c r="B19" s="3000">
        <v>18</v>
      </c>
      <c r="C19" s="3000">
        <v>1444.13</v>
      </c>
      <c r="D19" s="2999" t="s">
        <v>3297</v>
      </c>
      <c r="E19" s="2999" t="s">
        <v>3299</v>
      </c>
      <c r="F19" s="3000">
        <v>18</v>
      </c>
    </row>
    <row r="20" spans="1:13">
      <c r="A20" s="3000">
        <v>17</v>
      </c>
      <c r="B20" s="3000">
        <v>19</v>
      </c>
      <c r="C20" s="3000">
        <v>1429.73</v>
      </c>
      <c r="D20" s="2999" t="s">
        <v>3297</v>
      </c>
      <c r="E20" s="2999" t="s">
        <v>3301</v>
      </c>
      <c r="F20" s="3000">
        <v>19</v>
      </c>
    </row>
    <row r="21" spans="1:13">
      <c r="A21" s="3000">
        <v>18</v>
      </c>
      <c r="B21" s="3000">
        <v>20</v>
      </c>
      <c r="C21" s="3000">
        <v>1419.07</v>
      </c>
      <c r="D21" s="2999" t="s">
        <v>3297</v>
      </c>
      <c r="E21" s="2999" t="s">
        <v>3299</v>
      </c>
      <c r="F21" s="3000">
        <v>20</v>
      </c>
    </row>
    <row r="22" spans="1:13">
      <c r="A22" s="3000">
        <v>19</v>
      </c>
      <c r="B22" s="3000">
        <v>21</v>
      </c>
      <c r="C22" s="3000">
        <v>1411.87</v>
      </c>
      <c r="D22" s="2999" t="s">
        <v>3297</v>
      </c>
      <c r="E22" s="2999" t="s">
        <v>3301</v>
      </c>
      <c r="F22" s="3000">
        <v>21</v>
      </c>
    </row>
    <row r="23" spans="1:13">
      <c r="A23" s="3000">
        <v>20</v>
      </c>
      <c r="B23" s="3000">
        <v>22</v>
      </c>
      <c r="C23" s="3000">
        <v>984.58</v>
      </c>
      <c r="D23" s="2999" t="s">
        <v>3297</v>
      </c>
      <c r="E23" s="2999" t="s">
        <v>3299</v>
      </c>
      <c r="F23" s="3000">
        <v>22</v>
      </c>
    </row>
    <row r="24" spans="1:13">
      <c r="A24" s="3000">
        <v>21</v>
      </c>
      <c r="B24" s="3000">
        <v>23</v>
      </c>
      <c r="C24" s="3000">
        <v>977.38</v>
      </c>
      <c r="D24" s="2999" t="s">
        <v>3297</v>
      </c>
      <c r="E24" s="2999" t="s">
        <v>3301</v>
      </c>
      <c r="F24" s="3000">
        <v>23</v>
      </c>
    </row>
    <row r="25" spans="1:13">
      <c r="A25" s="3000">
        <v>22</v>
      </c>
      <c r="B25" s="3000">
        <v>24</v>
      </c>
      <c r="C25" s="3000">
        <v>881.37</v>
      </c>
      <c r="D25" s="2999" t="s">
        <v>3297</v>
      </c>
      <c r="E25" s="2999" t="s">
        <v>3299</v>
      </c>
      <c r="F25" s="3000">
        <v>24</v>
      </c>
    </row>
    <row r="26" spans="1:13">
      <c r="A26" s="3000">
        <v>23</v>
      </c>
      <c r="B26" s="3000">
        <v>25</v>
      </c>
      <c r="C26" s="3000">
        <v>931.34</v>
      </c>
      <c r="D26" s="2999" t="s">
        <v>3297</v>
      </c>
      <c r="E26" s="2999" t="s">
        <v>3301</v>
      </c>
      <c r="F26" s="3000">
        <v>25</v>
      </c>
    </row>
    <row r="27" spans="1:13">
      <c r="A27" s="3010">
        <v>24</v>
      </c>
      <c r="B27" s="3010">
        <v>26</v>
      </c>
      <c r="C27" s="3010">
        <v>854.48</v>
      </c>
      <c r="D27" s="3011" t="s">
        <v>3297</v>
      </c>
      <c r="E27" s="3011" t="s">
        <v>3299</v>
      </c>
      <c r="F27" s="3010">
        <v>26</v>
      </c>
      <c r="H27" s="2996" t="s">
        <v>3438</v>
      </c>
    </row>
    <row r="28" spans="1:13">
      <c r="A28" s="3466" t="s">
        <v>3312</v>
      </c>
      <c r="B28" s="3467"/>
      <c r="C28" s="3000">
        <f>SUM(C4:C27)</f>
        <v>33212.230000000003</v>
      </c>
      <c r="D28" s="2999" t="s">
        <v>3302</v>
      </c>
      <c r="E28" s="2999" t="s">
        <v>3302</v>
      </c>
      <c r="F28" s="2999" t="s">
        <v>3302</v>
      </c>
      <c r="H28" s="3076" t="s">
        <v>3439</v>
      </c>
      <c r="I28">
        <v>7279</v>
      </c>
      <c r="J28" s="3078" t="s">
        <v>3442</v>
      </c>
      <c r="K28">
        <f>7279/2</f>
        <v>3639.5</v>
      </c>
      <c r="L28" s="2996" t="s">
        <v>3443</v>
      </c>
      <c r="M28">
        <f>I28-K28</f>
        <v>3639.5</v>
      </c>
    </row>
    <row r="29" spans="1:13">
      <c r="A29" s="2996" t="s">
        <v>3303</v>
      </c>
      <c r="H29" s="2996" t="s">
        <v>3440</v>
      </c>
      <c r="I29">
        <v>377</v>
      </c>
    </row>
    <row r="30" spans="1:13">
      <c r="A30" s="3436" t="s">
        <v>3289</v>
      </c>
      <c r="B30" s="3436" t="s">
        <v>3290</v>
      </c>
      <c r="C30" s="3436" t="s">
        <v>3291</v>
      </c>
      <c r="D30" s="3436" t="s">
        <v>3292</v>
      </c>
      <c r="E30" s="3436" t="s">
        <v>3293</v>
      </c>
      <c r="F30" s="3436"/>
      <c r="H30" s="3077" t="s">
        <v>3441</v>
      </c>
      <c r="I30">
        <v>275</v>
      </c>
    </row>
    <row r="31" spans="1:13">
      <c r="A31" s="3436"/>
      <c r="B31" s="3436"/>
      <c r="C31" s="3436"/>
      <c r="D31" s="3436"/>
      <c r="E31" s="2999" t="s">
        <v>3294</v>
      </c>
      <c r="F31" s="2999" t="s">
        <v>3295</v>
      </c>
      <c r="H31" s="3077" t="s">
        <v>3444</v>
      </c>
      <c r="I31">
        <v>619</v>
      </c>
      <c r="J31" s="2996" t="s">
        <v>3447</v>
      </c>
      <c r="K31">
        <f>I31/2</f>
        <v>309.5</v>
      </c>
      <c r="L31" s="2996" t="s">
        <v>3448</v>
      </c>
      <c r="M31">
        <f>K31</f>
        <v>309.5</v>
      </c>
    </row>
    <row r="32" spans="1:13">
      <c r="A32" s="3000">
        <v>1</v>
      </c>
      <c r="B32" s="3000">
        <v>-301</v>
      </c>
      <c r="C32" s="3000">
        <v>1354.25</v>
      </c>
      <c r="D32" s="2999" t="s">
        <v>3304</v>
      </c>
      <c r="E32" s="2999" t="s">
        <v>3306</v>
      </c>
      <c r="F32" s="3000">
        <v>-3</v>
      </c>
      <c r="H32" s="3077" t="s">
        <v>3445</v>
      </c>
      <c r="I32">
        <v>29</v>
      </c>
    </row>
    <row r="33" spans="1:9">
      <c r="A33" s="3000">
        <v>2</v>
      </c>
      <c r="B33" s="3000">
        <v>-302</v>
      </c>
      <c r="C33" s="3000">
        <v>1685.6</v>
      </c>
      <c r="D33" s="2999" t="s">
        <v>3304</v>
      </c>
      <c r="E33" s="2999" t="s">
        <v>3306</v>
      </c>
      <c r="F33" s="3000">
        <v>-3</v>
      </c>
      <c r="H33" s="3077" t="s">
        <v>3446</v>
      </c>
      <c r="I33">
        <v>270</v>
      </c>
    </row>
    <row r="34" spans="1:9">
      <c r="A34" s="3000">
        <v>3</v>
      </c>
      <c r="B34" s="3000">
        <v>-201</v>
      </c>
      <c r="C34" s="3000">
        <v>6954.92</v>
      </c>
      <c r="D34" s="2999" t="s">
        <v>3296</v>
      </c>
      <c r="E34" s="2999" t="s">
        <v>3307</v>
      </c>
      <c r="F34" s="3000">
        <v>-2</v>
      </c>
    </row>
    <row r="35" spans="1:9">
      <c r="A35" s="3000">
        <v>4</v>
      </c>
      <c r="B35" s="3000">
        <v>-202</v>
      </c>
      <c r="C35" s="3000">
        <v>3239</v>
      </c>
      <c r="D35" s="2999" t="s">
        <v>3112</v>
      </c>
      <c r="E35" s="2999" t="s">
        <v>3305</v>
      </c>
      <c r="F35" s="3000">
        <v>-2</v>
      </c>
    </row>
    <row r="36" spans="1:9">
      <c r="A36" s="3000">
        <v>5</v>
      </c>
      <c r="B36" s="3000">
        <v>-101</v>
      </c>
      <c r="C36" s="3000">
        <v>6650.82</v>
      </c>
      <c r="D36" s="2999" t="s">
        <v>3296</v>
      </c>
      <c r="E36" s="2999" t="s">
        <v>3305</v>
      </c>
      <c r="F36" s="3000">
        <v>-1</v>
      </c>
    </row>
    <row r="37" spans="1:9">
      <c r="A37" s="3000">
        <v>6</v>
      </c>
      <c r="B37" s="3000">
        <v>-102</v>
      </c>
      <c r="C37" s="3000">
        <v>3719.06</v>
      </c>
      <c r="D37" s="2999" t="s">
        <v>3112</v>
      </c>
      <c r="E37" s="2999" t="s">
        <v>3305</v>
      </c>
      <c r="F37" s="3000">
        <v>-1</v>
      </c>
    </row>
    <row r="38" spans="1:9">
      <c r="A38" s="3000">
        <v>7</v>
      </c>
      <c r="B38" s="3000">
        <v>101</v>
      </c>
      <c r="C38" s="3000">
        <v>2894.59</v>
      </c>
      <c r="D38" s="2999" t="s">
        <v>3296</v>
      </c>
      <c r="E38" s="2999" t="s">
        <v>3305</v>
      </c>
      <c r="F38" s="3000">
        <v>1</v>
      </c>
    </row>
    <row r="39" spans="1:9">
      <c r="A39" s="3000">
        <v>8</v>
      </c>
      <c r="B39" s="3000">
        <v>102</v>
      </c>
      <c r="C39" s="3000">
        <v>1377.98</v>
      </c>
      <c r="D39" s="2999" t="s">
        <v>3296</v>
      </c>
      <c r="E39" s="2999" t="s">
        <v>3305</v>
      </c>
      <c r="F39" s="3000">
        <v>1</v>
      </c>
    </row>
    <row r="40" spans="1:9">
      <c r="A40" s="3000">
        <v>9</v>
      </c>
      <c r="B40" s="3000">
        <v>2</v>
      </c>
      <c r="C40" s="3000">
        <v>4505.8599999999997</v>
      </c>
      <c r="D40" s="2999" t="s">
        <v>3296</v>
      </c>
      <c r="E40" s="2999" t="s">
        <v>3305</v>
      </c>
      <c r="F40" s="3000">
        <v>2</v>
      </c>
    </row>
    <row r="41" spans="1:9">
      <c r="A41" s="3436" t="s">
        <v>3312</v>
      </c>
      <c r="B41" s="3437"/>
      <c r="C41" s="3000">
        <f>SUM(C32:C40)</f>
        <v>32382.080000000002</v>
      </c>
      <c r="D41" s="2999" t="s">
        <v>3309</v>
      </c>
      <c r="E41" s="2999" t="s">
        <v>3309</v>
      </c>
      <c r="F41" s="2999" t="s">
        <v>3310</v>
      </c>
    </row>
    <row r="42" spans="1:9">
      <c r="A42" s="2996" t="s">
        <v>3311</v>
      </c>
    </row>
    <row r="43" spans="1:9">
      <c r="A43" s="3436" t="s">
        <v>3289</v>
      </c>
      <c r="B43" s="3436" t="s">
        <v>3290</v>
      </c>
      <c r="C43" s="3436" t="s">
        <v>3291</v>
      </c>
      <c r="D43" s="3436" t="s">
        <v>3292</v>
      </c>
      <c r="E43" s="3436" t="s">
        <v>3293</v>
      </c>
      <c r="F43" s="3436"/>
    </row>
    <row r="44" spans="1:9">
      <c r="A44" s="3436"/>
      <c r="B44" s="3436"/>
      <c r="C44" s="3436"/>
      <c r="D44" s="3436"/>
      <c r="E44" s="2954" t="s">
        <v>3294</v>
      </c>
      <c r="F44" s="2954" t="s">
        <v>3295</v>
      </c>
    </row>
    <row r="45" spans="1:9">
      <c r="A45" s="3000">
        <v>1</v>
      </c>
      <c r="B45" s="3000">
        <v>3</v>
      </c>
      <c r="C45" s="3000">
        <v>1582.73</v>
      </c>
      <c r="D45" s="2999" t="s">
        <v>3296</v>
      </c>
      <c r="E45" s="2999" t="s">
        <v>3298</v>
      </c>
      <c r="F45" s="3000">
        <v>3</v>
      </c>
    </row>
    <row r="46" spans="1:9">
      <c r="A46" s="3000">
        <v>2</v>
      </c>
      <c r="B46" s="3000">
        <v>4</v>
      </c>
      <c r="C46" s="3000">
        <v>1588.13</v>
      </c>
      <c r="D46" s="2999" t="s">
        <v>3297</v>
      </c>
      <c r="E46" s="2999" t="s">
        <v>3300</v>
      </c>
      <c r="F46" s="3000">
        <v>4</v>
      </c>
    </row>
    <row r="47" spans="1:9">
      <c r="A47" s="3000">
        <v>3</v>
      </c>
      <c r="B47" s="3000">
        <v>5</v>
      </c>
      <c r="C47" s="3000">
        <v>1580.93</v>
      </c>
      <c r="D47" s="2999" t="s">
        <v>3297</v>
      </c>
      <c r="E47" s="2999" t="s">
        <v>3301</v>
      </c>
      <c r="F47" s="3000">
        <v>5</v>
      </c>
    </row>
    <row r="48" spans="1:9">
      <c r="A48" s="3000">
        <v>4</v>
      </c>
      <c r="B48" s="3000">
        <v>6</v>
      </c>
      <c r="C48" s="3000">
        <v>1573.73</v>
      </c>
      <c r="D48" s="2999" t="s">
        <v>3297</v>
      </c>
      <c r="E48" s="2999" t="s">
        <v>3299</v>
      </c>
      <c r="F48" s="3000">
        <v>6</v>
      </c>
    </row>
    <row r="49" spans="1:6">
      <c r="A49" s="3000">
        <v>5</v>
      </c>
      <c r="B49" s="3000">
        <v>7</v>
      </c>
      <c r="C49" s="3000">
        <v>1559.33</v>
      </c>
      <c r="D49" s="2999" t="s">
        <v>3297</v>
      </c>
      <c r="E49" s="2999" t="s">
        <v>3301</v>
      </c>
      <c r="F49" s="3000">
        <v>7</v>
      </c>
    </row>
    <row r="50" spans="1:6">
      <c r="A50" s="3000">
        <v>6</v>
      </c>
      <c r="B50" s="3000">
        <v>8</v>
      </c>
      <c r="C50" s="3000">
        <v>1552.13</v>
      </c>
      <c r="D50" s="2999" t="s">
        <v>3297</v>
      </c>
      <c r="E50" s="2999" t="s">
        <v>3299</v>
      </c>
      <c r="F50" s="3000">
        <v>8</v>
      </c>
    </row>
    <row r="51" spans="1:6">
      <c r="A51" s="3000">
        <v>7</v>
      </c>
      <c r="B51" s="3000">
        <v>9</v>
      </c>
      <c r="C51" s="3000">
        <v>1537.73</v>
      </c>
      <c r="D51" s="2999" t="s">
        <v>3297</v>
      </c>
      <c r="E51" s="2999" t="s">
        <v>3301</v>
      </c>
      <c r="F51" s="3000">
        <v>9</v>
      </c>
    </row>
    <row r="52" spans="1:6">
      <c r="A52" s="3000">
        <v>8</v>
      </c>
      <c r="B52" s="3000">
        <v>10</v>
      </c>
      <c r="C52" s="3000">
        <v>1530.53</v>
      </c>
      <c r="D52" s="2999" t="s">
        <v>3297</v>
      </c>
      <c r="E52" s="2999" t="s">
        <v>3299</v>
      </c>
      <c r="F52" s="3000">
        <v>10</v>
      </c>
    </row>
    <row r="53" spans="1:6">
      <c r="A53" s="3000">
        <v>9</v>
      </c>
      <c r="B53" s="3000">
        <v>11</v>
      </c>
      <c r="C53" s="3000">
        <v>1516.13</v>
      </c>
      <c r="D53" s="2999" t="s">
        <v>3297</v>
      </c>
      <c r="E53" s="2999" t="s">
        <v>3301</v>
      </c>
      <c r="F53" s="3000">
        <v>11</v>
      </c>
    </row>
    <row r="54" spans="1:6">
      <c r="A54" s="3000">
        <v>10</v>
      </c>
      <c r="B54" s="3000">
        <v>12</v>
      </c>
      <c r="C54" s="3000">
        <v>1508.93</v>
      </c>
      <c r="D54" s="2999" t="s">
        <v>3297</v>
      </c>
      <c r="E54" s="2999" t="s">
        <v>3299</v>
      </c>
      <c r="F54" s="3000">
        <v>12</v>
      </c>
    </row>
    <row r="55" spans="1:6">
      <c r="A55" s="3000">
        <v>11</v>
      </c>
      <c r="B55" s="3000">
        <v>13</v>
      </c>
      <c r="C55" s="3000">
        <v>1494.53</v>
      </c>
      <c r="D55" s="2999" t="s">
        <v>3297</v>
      </c>
      <c r="E55" s="2999" t="s">
        <v>3301</v>
      </c>
      <c r="F55" s="3000">
        <v>13</v>
      </c>
    </row>
    <row r="56" spans="1:6">
      <c r="A56" s="3000">
        <v>12</v>
      </c>
      <c r="B56" s="3000">
        <v>14</v>
      </c>
      <c r="C56" s="3000">
        <v>1487.33</v>
      </c>
      <c r="D56" s="2999" t="s">
        <v>3297</v>
      </c>
      <c r="E56" s="2999" t="s">
        <v>3299</v>
      </c>
      <c r="F56" s="3000">
        <v>14</v>
      </c>
    </row>
    <row r="57" spans="1:6">
      <c r="A57" s="3000">
        <v>13</v>
      </c>
      <c r="B57" s="3000">
        <v>15</v>
      </c>
      <c r="C57" s="3000">
        <v>1472.93</v>
      </c>
      <c r="D57" s="2999" t="s">
        <v>3297</v>
      </c>
      <c r="E57" s="2999" t="s">
        <v>3301</v>
      </c>
      <c r="F57" s="3000">
        <v>15</v>
      </c>
    </row>
    <row r="58" spans="1:6">
      <c r="A58" s="3000">
        <v>14</v>
      </c>
      <c r="B58" s="3000">
        <v>16</v>
      </c>
      <c r="C58" s="3000">
        <v>1465.73</v>
      </c>
      <c r="D58" s="2999" t="s">
        <v>3297</v>
      </c>
      <c r="E58" s="2999" t="s">
        <v>3299</v>
      </c>
      <c r="F58" s="3000">
        <v>16</v>
      </c>
    </row>
    <row r="59" spans="1:6">
      <c r="A59" s="3000">
        <v>15</v>
      </c>
      <c r="B59" s="3000">
        <v>17</v>
      </c>
      <c r="C59" s="3000">
        <v>1451.33</v>
      </c>
      <c r="D59" s="2999" t="s">
        <v>3297</v>
      </c>
      <c r="E59" s="2999" t="s">
        <v>3301</v>
      </c>
      <c r="F59" s="3000">
        <v>17</v>
      </c>
    </row>
    <row r="60" spans="1:6">
      <c r="A60" s="3000">
        <v>16</v>
      </c>
      <c r="B60" s="3000">
        <v>18</v>
      </c>
      <c r="C60" s="3000">
        <v>1444.13</v>
      </c>
      <c r="D60" s="2999" t="s">
        <v>3297</v>
      </c>
      <c r="E60" s="2999" t="s">
        <v>3299</v>
      </c>
      <c r="F60" s="3000">
        <v>18</v>
      </c>
    </row>
    <row r="61" spans="1:6">
      <c r="A61" s="3000">
        <v>17</v>
      </c>
      <c r="B61" s="3000">
        <v>19</v>
      </c>
      <c r="C61" s="3000">
        <v>1429.73</v>
      </c>
      <c r="D61" s="2999" t="s">
        <v>3297</v>
      </c>
      <c r="E61" s="2999" t="s">
        <v>3301</v>
      </c>
      <c r="F61" s="3000">
        <v>19</v>
      </c>
    </row>
    <row r="62" spans="1:6">
      <c r="A62" s="3000">
        <v>18</v>
      </c>
      <c r="B62" s="3000">
        <v>20</v>
      </c>
      <c r="C62" s="3000">
        <v>1419.07</v>
      </c>
      <c r="D62" s="2999" t="s">
        <v>3297</v>
      </c>
      <c r="E62" s="2999" t="s">
        <v>3299</v>
      </c>
      <c r="F62" s="3000">
        <v>20</v>
      </c>
    </row>
    <row r="63" spans="1:6">
      <c r="A63" s="3000">
        <v>19</v>
      </c>
      <c r="B63" s="3000">
        <v>21</v>
      </c>
      <c r="C63" s="3000">
        <v>1411.87</v>
      </c>
      <c r="D63" s="2999" t="s">
        <v>3297</v>
      </c>
      <c r="E63" s="2999" t="s">
        <v>3301</v>
      </c>
      <c r="F63" s="3000">
        <v>21</v>
      </c>
    </row>
    <row r="64" spans="1:6">
      <c r="A64" s="3000">
        <v>20</v>
      </c>
      <c r="B64" s="3000">
        <v>22</v>
      </c>
      <c r="C64" s="3000">
        <v>984.58</v>
      </c>
      <c r="D64" s="2999" t="s">
        <v>3297</v>
      </c>
      <c r="E64" s="2999" t="s">
        <v>3299</v>
      </c>
      <c r="F64" s="3000">
        <v>22</v>
      </c>
    </row>
    <row r="65" spans="1:6">
      <c r="A65" s="3000">
        <v>21</v>
      </c>
      <c r="B65" s="3000">
        <v>23</v>
      </c>
      <c r="C65" s="3000">
        <v>977.38</v>
      </c>
      <c r="D65" s="2999" t="s">
        <v>3297</v>
      </c>
      <c r="E65" s="2999" t="s">
        <v>3301</v>
      </c>
      <c r="F65" s="3000">
        <v>23</v>
      </c>
    </row>
    <row r="66" spans="1:6">
      <c r="A66" s="3000">
        <v>22</v>
      </c>
      <c r="B66" s="3000">
        <v>24</v>
      </c>
      <c r="C66" s="3000">
        <v>881.37</v>
      </c>
      <c r="D66" s="2999" t="s">
        <v>3297</v>
      </c>
      <c r="E66" s="2999" t="s">
        <v>3299</v>
      </c>
      <c r="F66" s="3000">
        <v>24</v>
      </c>
    </row>
    <row r="67" spans="1:6">
      <c r="A67" s="3000">
        <v>23</v>
      </c>
      <c r="B67" s="3000">
        <v>25</v>
      </c>
      <c r="C67" s="3000">
        <v>931.34</v>
      </c>
      <c r="D67" s="2999" t="s">
        <v>3297</v>
      </c>
      <c r="E67" s="2999" t="s">
        <v>3301</v>
      </c>
      <c r="F67" s="3000">
        <v>25</v>
      </c>
    </row>
    <row r="68" spans="1:6">
      <c r="A68" s="3000">
        <v>24</v>
      </c>
      <c r="B68" s="3000">
        <v>26</v>
      </c>
      <c r="C68" s="3000">
        <v>854.48</v>
      </c>
      <c r="D68" s="2999" t="s">
        <v>3297</v>
      </c>
      <c r="E68" s="2999" t="s">
        <v>3299</v>
      </c>
      <c r="F68" s="3000">
        <v>26</v>
      </c>
    </row>
    <row r="69" spans="1:6">
      <c r="A69" s="3466" t="s">
        <v>3312</v>
      </c>
      <c r="B69" s="3467"/>
      <c r="C69" s="3000">
        <f>SUM(C45:C68)</f>
        <v>33236.1</v>
      </c>
      <c r="D69" s="2999" t="s">
        <v>3302</v>
      </c>
      <c r="E69" s="2999" t="s">
        <v>3302</v>
      </c>
      <c r="F69" s="2999" t="s">
        <v>3302</v>
      </c>
    </row>
    <row r="70" spans="1:6">
      <c r="A70" s="3466" t="s">
        <v>3308</v>
      </c>
      <c r="B70" s="3468"/>
      <c r="C70" s="3000">
        <f>C28+C41+C69</f>
        <v>98830.41</v>
      </c>
      <c r="D70" s="2999" t="s">
        <v>3310</v>
      </c>
      <c r="E70" s="2999" t="s">
        <v>3302</v>
      </c>
      <c r="F70" s="2999" t="s">
        <v>3302</v>
      </c>
    </row>
  </sheetData>
  <mergeCells count="19">
    <mergeCell ref="E2:F2"/>
    <mergeCell ref="A28:B28"/>
    <mergeCell ref="A41:B41"/>
    <mergeCell ref="A2:A3"/>
    <mergeCell ref="B2:B3"/>
    <mergeCell ref="C2:C3"/>
    <mergeCell ref="D2:D3"/>
    <mergeCell ref="A30:A31"/>
    <mergeCell ref="B30:B31"/>
    <mergeCell ref="C30:C31"/>
    <mergeCell ref="D30:D31"/>
    <mergeCell ref="E30:F30"/>
    <mergeCell ref="E43:F43"/>
    <mergeCell ref="A69:B69"/>
    <mergeCell ref="A70:B70"/>
    <mergeCell ref="A43:A44"/>
    <mergeCell ref="B43:B44"/>
    <mergeCell ref="C43:C44"/>
    <mergeCell ref="D43:D44"/>
  </mergeCells>
  <phoneticPr fontId="1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A13" sqref="A13"/>
    </sheetView>
  </sheetViews>
  <sheetFormatPr defaultRowHeight="13.5"/>
  <cols>
    <col min="1" max="3" width="9.5" bestFit="1" customWidth="1"/>
    <col min="4" max="4" width="11.625" bestFit="1" customWidth="1"/>
    <col min="5" max="5" width="9.5" bestFit="1" customWidth="1"/>
    <col min="6" max="6" width="10.5" bestFit="1" customWidth="1"/>
    <col min="7" max="7" width="16.125" bestFit="1" customWidth="1"/>
  </cols>
  <sheetData>
    <row r="1" spans="1:11" ht="14.25" thickBot="1">
      <c r="A1" s="2996" t="s">
        <v>3328</v>
      </c>
      <c r="F1" s="3042" t="s">
        <v>3331</v>
      </c>
      <c r="G1" s="3043">
        <f>E12</f>
        <v>44565</v>
      </c>
      <c r="H1" s="3044"/>
      <c r="I1" s="3044"/>
      <c r="J1" s="3044"/>
      <c r="K1" s="3044"/>
    </row>
    <row r="2" spans="1:11" ht="27">
      <c r="A2" s="3041">
        <v>43104</v>
      </c>
      <c r="B2" s="2998">
        <v>43469</v>
      </c>
      <c r="C2" s="2998">
        <v>43834</v>
      </c>
      <c r="D2" s="2998">
        <v>44135</v>
      </c>
      <c r="F2" s="3045" t="s">
        <v>3332</v>
      </c>
      <c r="G2" s="3046" t="s">
        <v>3333</v>
      </c>
      <c r="H2" s="3047" t="s">
        <v>3334</v>
      </c>
      <c r="I2" s="3046" t="s">
        <v>3335</v>
      </c>
      <c r="J2" s="3048" t="s">
        <v>3336</v>
      </c>
      <c r="K2" s="3044"/>
    </row>
    <row r="3" spans="1:11" ht="14.25" thickBot="1">
      <c r="A3">
        <f>'比较法-办公租金'!C50</f>
        <v>8.4</v>
      </c>
      <c r="B3">
        <f>ROUND(A3*(1+$B$4),2)</f>
        <v>8.65</v>
      </c>
      <c r="C3">
        <f t="shared" ref="C3" si="0">ROUND(B3*(1+$B$4),2)</f>
        <v>8.91</v>
      </c>
      <c r="D3">
        <f>ROUND(C3*(1+$B$4)^0.82,2)</f>
        <v>9.1300000000000008</v>
      </c>
      <c r="F3" s="3049">
        <v>40</v>
      </c>
      <c r="G3" s="3050">
        <f>F12</f>
        <v>44681</v>
      </c>
      <c r="H3" s="3051">
        <f>ROUNDDOWN(MIN((G3-G1)/365,F3),2)</f>
        <v>0.31</v>
      </c>
      <c r="I3" s="3052">
        <f>IF(ISERROR(ROUND(POWER(1+J3,F3-H3)*(POWER(1+J3,H3)-1)/(POWER(1+J3,F3)-1),3)),0,ROUND(POWER(1+J3,F3-H3)*(POWER(1+J3,H3)-1)/(POWER(1+J3,F3)-1),3))</f>
        <v>1.4999999999999999E-2</v>
      </c>
      <c r="J3" s="3053">
        <v>0.04</v>
      </c>
      <c r="K3" s="3044"/>
    </row>
    <row r="4" spans="1:11" ht="14.25" thickBot="1">
      <c r="A4" s="2996" t="s">
        <v>3329</v>
      </c>
      <c r="B4" s="2952">
        <v>0.03</v>
      </c>
      <c r="C4" s="2996" t="s">
        <v>3330</v>
      </c>
      <c r="D4" s="2952">
        <v>0.1</v>
      </c>
      <c r="F4" s="3044"/>
      <c r="G4" s="3044"/>
      <c r="H4" s="3044"/>
      <c r="I4" s="3044"/>
      <c r="J4" s="3044"/>
      <c r="K4" s="3044"/>
    </row>
    <row r="5" spans="1:11" ht="14.25" thickBot="1">
      <c r="A5" s="2996" t="s">
        <v>3347</v>
      </c>
      <c r="B5">
        <v>2.82</v>
      </c>
      <c r="F5" s="3054" t="s">
        <v>3337</v>
      </c>
      <c r="G5" s="3055"/>
      <c r="H5" s="3044"/>
      <c r="I5" s="3044"/>
      <c r="J5" s="3044"/>
      <c r="K5" s="3044"/>
    </row>
    <row r="6" spans="1:11" ht="14.25" thickBot="1">
      <c r="F6" s="3469" t="s">
        <v>3338</v>
      </c>
      <c r="G6" s="3470"/>
      <c r="H6" s="3469" t="s">
        <v>3336</v>
      </c>
      <c r="I6" s="3470"/>
      <c r="J6" s="3469" t="s">
        <v>3335</v>
      </c>
      <c r="K6" s="3470"/>
    </row>
    <row r="7" spans="1:11">
      <c r="F7" s="3056" t="s">
        <v>3339</v>
      </c>
      <c r="G7" s="3057">
        <v>50</v>
      </c>
      <c r="H7" s="3058" t="s">
        <v>3340</v>
      </c>
      <c r="I7" s="3059">
        <v>0.06</v>
      </c>
      <c r="J7" s="3058" t="s">
        <v>3341</v>
      </c>
      <c r="K7" s="3060">
        <f>1-(1/(POWER(1+I7,G7)))</f>
        <v>0.94571163818330928</v>
      </c>
    </row>
    <row r="8" spans="1:11" ht="14.25" thickBot="1">
      <c r="F8" s="3061" t="s">
        <v>3342</v>
      </c>
      <c r="G8" s="3062">
        <v>44.84</v>
      </c>
      <c r="H8" s="3063" t="s">
        <v>3343</v>
      </c>
      <c r="I8" s="3064">
        <v>0.06</v>
      </c>
      <c r="J8" s="3063" t="s">
        <v>3344</v>
      </c>
      <c r="K8" s="3065">
        <f>1-(1/(POWER(1+I8,G8)))</f>
        <v>0.9266694400061779</v>
      </c>
    </row>
    <row r="9" spans="1:11">
      <c r="F9" s="3056" t="s">
        <v>3345</v>
      </c>
      <c r="G9" s="3066">
        <v>5000</v>
      </c>
      <c r="H9" s="3058" t="s">
        <v>3346</v>
      </c>
      <c r="I9" s="3067">
        <v>5000</v>
      </c>
      <c r="J9" s="3044"/>
      <c r="K9" s="3044"/>
    </row>
    <row r="10" spans="1:11" ht="14.25" thickBot="1">
      <c r="F10" s="3061" t="s">
        <v>3346</v>
      </c>
      <c r="G10" s="3068">
        <f>ROUND(G9*K8/K7,2)</f>
        <v>4899.32</v>
      </c>
      <c r="H10" s="3063" t="s">
        <v>3345</v>
      </c>
      <c r="I10" s="3069">
        <f>ROUND(I9*K7/K8,2)</f>
        <v>5102.75</v>
      </c>
      <c r="J10" s="3044"/>
      <c r="K10" s="3044"/>
    </row>
    <row r="11" spans="1:11">
      <c r="A11" s="2996" t="s">
        <v>3422</v>
      </c>
    </row>
    <row r="12" spans="1:11">
      <c r="A12" s="3041">
        <v>43104</v>
      </c>
      <c r="B12" s="2998">
        <v>43469</v>
      </c>
      <c r="C12" s="2998">
        <v>43834</v>
      </c>
      <c r="D12" s="2998">
        <v>44200</v>
      </c>
      <c r="E12" s="2998">
        <v>44565</v>
      </c>
      <c r="F12" s="2998">
        <v>44681</v>
      </c>
    </row>
    <row r="13" spans="1:11">
      <c r="A13">
        <f>'典型户型修正-租金'!R25</f>
        <v>8</v>
      </c>
      <c r="B13">
        <f>ROUND(A13*(1+$B$14),2)</f>
        <v>8.2799999999999994</v>
      </c>
      <c r="C13">
        <f t="shared" ref="C13:E13" si="1">ROUND(B13*(1+$B$14),2)</f>
        <v>8.57</v>
      </c>
      <c r="D13">
        <f t="shared" si="1"/>
        <v>8.8699999999999992</v>
      </c>
      <c r="E13">
        <f t="shared" si="1"/>
        <v>9.18</v>
      </c>
      <c r="F13">
        <f>ROUND(E13*(1+$B$14)^0.31,2)</f>
        <v>9.2799999999999994</v>
      </c>
    </row>
    <row r="14" spans="1:11">
      <c r="A14" s="2996" t="s">
        <v>3329</v>
      </c>
      <c r="B14" s="2939">
        <v>3.5000000000000003E-2</v>
      </c>
      <c r="C14" s="2996" t="s">
        <v>3330</v>
      </c>
      <c r="D14" s="2952">
        <v>0.1</v>
      </c>
    </row>
    <row r="15" spans="1:11">
      <c r="A15" s="2996" t="s">
        <v>3423</v>
      </c>
      <c r="B15">
        <v>4.32</v>
      </c>
    </row>
  </sheetData>
  <mergeCells count="3">
    <mergeCell ref="F6:G6"/>
    <mergeCell ref="H6:I6"/>
    <mergeCell ref="J6:K6"/>
  </mergeCells>
  <phoneticPr fontId="144" type="noConversion"/>
  <dataValidations count="1">
    <dataValidation type="list" allowBlank="1" showInputMessage="1" showErrorMessage="1" sqref="F3">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140" t="s">
        <v>1671</v>
      </c>
      <c r="B15" s="3135" t="s">
        <v>136</v>
      </c>
      <c r="C15" s="3136"/>
    </row>
    <row r="16" spans="1:7" ht="13.5">
      <c r="A16" s="3141"/>
      <c r="B16" s="3135" t="s">
        <v>69</v>
      </c>
      <c r="C16" s="3136"/>
    </row>
    <row r="17" spans="1:3" ht="13.5">
      <c r="A17" s="3141"/>
      <c r="B17" s="3138" t="s">
        <v>1672</v>
      </c>
      <c r="C17" s="2005" t="s">
        <v>1671</v>
      </c>
    </row>
    <row r="18" spans="1:3" ht="13.5">
      <c r="A18" s="3141"/>
      <c r="B18" s="3138"/>
      <c r="C18" s="2005" t="s">
        <v>1673</v>
      </c>
    </row>
    <row r="19" spans="1:3" ht="13.5">
      <c r="A19" s="3141"/>
      <c r="B19" s="3138"/>
      <c r="C19" s="2005" t="s">
        <v>1674</v>
      </c>
    </row>
    <row r="20" spans="1:3" ht="13.5">
      <c r="A20" s="3142"/>
      <c r="B20" s="3137" t="s">
        <v>1675</v>
      </c>
      <c r="C20" s="3136"/>
    </row>
    <row r="21" spans="1:3" ht="13.5">
      <c r="A21" s="2006" t="s">
        <v>1676</v>
      </c>
      <c r="B21" s="2007"/>
      <c r="C21" s="2008"/>
    </row>
    <row r="22" spans="1:3" ht="13.5">
      <c r="A22" s="3139" t="s">
        <v>1677</v>
      </c>
      <c r="B22" s="3137" t="s">
        <v>1678</v>
      </c>
      <c r="C22" s="3136"/>
    </row>
    <row r="23" spans="1:3" ht="13.5">
      <c r="A23" s="3139"/>
      <c r="B23" s="3137" t="s">
        <v>1679</v>
      </c>
      <c r="C23" s="3136"/>
    </row>
    <row r="24" spans="1:3" ht="13.5">
      <c r="A24" s="3139"/>
      <c r="B24" s="3137" t="s">
        <v>1680</v>
      </c>
      <c r="C24" s="3136"/>
    </row>
    <row r="25" spans="1:3" ht="13.5">
      <c r="A25" s="3139"/>
      <c r="B25" s="3138" t="s">
        <v>1681</v>
      </c>
      <c r="C25" s="2005" t="s">
        <v>1682</v>
      </c>
    </row>
    <row r="26" spans="1:3" ht="13.5">
      <c r="A26" s="3139"/>
      <c r="B26" s="3138"/>
      <c r="C26" s="2005" t="s">
        <v>1683</v>
      </c>
    </row>
    <row r="27" spans="1:3" ht="13.5">
      <c r="A27" s="3139"/>
      <c r="B27" s="3138"/>
      <c r="C27" s="2005" t="s">
        <v>1684</v>
      </c>
    </row>
    <row r="28" spans="1:3" ht="13.5">
      <c r="A28" s="3139"/>
      <c r="B28" s="3138"/>
      <c r="C28" s="2005" t="s">
        <v>1685</v>
      </c>
    </row>
    <row r="29" spans="1:3" ht="13.5">
      <c r="A29" s="3139"/>
      <c r="B29" s="3138"/>
      <c r="C29" s="2005" t="s">
        <v>1686</v>
      </c>
    </row>
    <row r="30" spans="1:3" ht="13.5">
      <c r="A30" s="3139"/>
      <c r="B30" s="3138"/>
      <c r="C30" s="2005" t="s">
        <v>1687</v>
      </c>
    </row>
    <row r="31" spans="1:3" ht="13.5">
      <c r="A31" s="3139"/>
      <c r="B31" s="3138"/>
      <c r="C31" s="2005" t="s">
        <v>1688</v>
      </c>
    </row>
    <row r="32" spans="1:3" ht="13.5">
      <c r="A32" s="3139"/>
      <c r="B32" s="3138"/>
      <c r="C32" s="2005" t="s">
        <v>1689</v>
      </c>
    </row>
    <row r="33" spans="1:3" ht="13.5">
      <c r="A33" s="3139"/>
      <c r="B33" s="3138"/>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43225</v>
      </c>
      <c r="C2" s="1023" t="s">
        <v>826</v>
      </c>
      <c r="D2" s="1023"/>
    </row>
    <row r="3" spans="1:6" ht="24" customHeight="1">
      <c r="A3" s="1024" t="s">
        <v>827</v>
      </c>
      <c r="B3" s="1025" t="s">
        <v>828</v>
      </c>
      <c r="C3" s="2347" t="s">
        <v>829</v>
      </c>
      <c r="D3" s="2350" t="s">
        <v>830</v>
      </c>
      <c r="E3" s="1026" t="s">
        <v>831</v>
      </c>
      <c r="F3" s="1025" t="s">
        <v>829</v>
      </c>
    </row>
    <row r="4" spans="1:6" ht="24" customHeight="1">
      <c r="A4" s="1707" t="s">
        <v>832</v>
      </c>
      <c r="B4" s="1026">
        <f ca="1">IF(C4&lt;B2,"已过期",1119970066)</f>
        <v>1119970066</v>
      </c>
      <c r="C4" s="2348">
        <v>43849</v>
      </c>
      <c r="D4" s="2351" t="s">
        <v>832</v>
      </c>
      <c r="E4" s="1026">
        <f ca="1">IF(F4&lt;B2,"已过期",96010014)</f>
        <v>96010014</v>
      </c>
      <c r="F4" s="1034">
        <v>47118</v>
      </c>
    </row>
    <row r="5" spans="1:6" ht="24" customHeight="1">
      <c r="A5" s="1707" t="s">
        <v>833</v>
      </c>
      <c r="B5" s="1026">
        <f ca="1">IF(C5&lt;B2,"已过期",1119970074)</f>
        <v>1119970074</v>
      </c>
      <c r="C5" s="2348">
        <v>43849</v>
      </c>
      <c r="D5" s="2351" t="s">
        <v>833</v>
      </c>
      <c r="E5" s="1026">
        <f ca="1">IF(F5&lt;B2,"已过期",2002110027)</f>
        <v>2002110027</v>
      </c>
      <c r="F5" s="1034">
        <v>46752</v>
      </c>
    </row>
    <row r="6" spans="1:6" ht="24" customHeight="1">
      <c r="A6" s="1707" t="s">
        <v>834</v>
      </c>
      <c r="B6" s="1026">
        <f ca="1">IF(C6&lt;B2,"已过期",1119970111)</f>
        <v>1119970111</v>
      </c>
      <c r="C6" s="2348">
        <v>43849</v>
      </c>
      <c r="D6" s="2351" t="s">
        <v>834</v>
      </c>
      <c r="E6" s="1026">
        <f ca="1">IF(F6&lt;B2,"已过期",94010078)</f>
        <v>94010078</v>
      </c>
      <c r="F6" s="1034">
        <v>46387</v>
      </c>
    </row>
    <row r="7" spans="1:6" ht="24" customHeight="1">
      <c r="A7" s="1707" t="s">
        <v>835</v>
      </c>
      <c r="B7" s="1026">
        <f ca="1">IF(C7&lt;B2,"已过期",1120050019)</f>
        <v>1120050019</v>
      </c>
      <c r="C7" s="2348">
        <v>43359</v>
      </c>
      <c r="D7" s="2351" t="s">
        <v>835</v>
      </c>
      <c r="E7" s="1026">
        <f ca="1">IF(F7&lt;B2,"已过期",2002110030)</f>
        <v>2002110030</v>
      </c>
      <c r="F7" s="1034">
        <v>46387</v>
      </c>
    </row>
    <row r="8" spans="1:6" ht="24" customHeight="1">
      <c r="A8" s="1707" t="s">
        <v>836</v>
      </c>
      <c r="B8" s="1026">
        <f ca="1">IF(C8&lt;B2,"已过期",1120000080)</f>
        <v>1120000080</v>
      </c>
      <c r="C8" s="2348">
        <v>43849</v>
      </c>
      <c r="D8" s="2351" t="s">
        <v>836</v>
      </c>
      <c r="E8" s="1026">
        <f ca="1">IF(F8&lt;B2,"已过期",2000110082)</f>
        <v>2000110082</v>
      </c>
      <c r="F8" s="1034">
        <v>46387</v>
      </c>
    </row>
    <row r="9" spans="1:6" ht="24" customHeight="1">
      <c r="A9" s="1707" t="s">
        <v>837</v>
      </c>
      <c r="B9" s="1026">
        <f ca="1">IF(C9&lt;B2,"已过期",1419970001)</f>
        <v>1419970001</v>
      </c>
      <c r="C9" s="2348">
        <v>43867</v>
      </c>
      <c r="D9" s="2351" t="s">
        <v>837</v>
      </c>
      <c r="E9" s="1026">
        <f ca="1">IF(F9&lt;B2,"已过期",2002110125)</f>
        <v>2002110125</v>
      </c>
      <c r="F9" s="1034">
        <v>47118</v>
      </c>
    </row>
    <row r="10" spans="1:6" ht="24" customHeight="1">
      <c r="A10" s="1707" t="s">
        <v>838</v>
      </c>
      <c r="B10" s="1026">
        <f ca="1">IF(C10&lt;B2,"已过期",1120060040)</f>
        <v>1120060040</v>
      </c>
      <c r="C10" s="2348">
        <v>43483</v>
      </c>
      <c r="D10" s="2351" t="s">
        <v>838</v>
      </c>
      <c r="E10" s="1026">
        <f ca="1">IF(F10&lt;B2,"已过期",2004110096)</f>
        <v>2004110096</v>
      </c>
      <c r="F10" s="1034">
        <v>47118</v>
      </c>
    </row>
    <row r="11" spans="1:6" ht="24" customHeight="1">
      <c r="A11" s="1707" t="s">
        <v>839</v>
      </c>
      <c r="B11" s="1026">
        <f ca="1">IF(C11&lt;B2,"已过期",1120100036)</f>
        <v>1120100036</v>
      </c>
      <c r="C11" s="2348">
        <v>43622</v>
      </c>
      <c r="D11" s="2351" t="s">
        <v>839</v>
      </c>
      <c r="E11" s="1026">
        <f ca="1">IF(F11&lt;B2,"已过期",2010110070)</f>
        <v>2010110070</v>
      </c>
      <c r="F11" s="1034">
        <v>47907</v>
      </c>
    </row>
    <row r="12" spans="1:6" ht="24" customHeight="1">
      <c r="A12" s="1707"/>
      <c r="B12" s="1026"/>
      <c r="C12" s="2348"/>
      <c r="D12" s="2351"/>
      <c r="E12" s="1026"/>
      <c r="F12" s="1026"/>
    </row>
    <row r="13" spans="1:6" ht="24" customHeight="1">
      <c r="A13" s="1707" t="s">
        <v>840</v>
      </c>
      <c r="B13" s="1026">
        <f ca="1">IF(C13&lt;B2,"已过期",1120070131)</f>
        <v>1120070131</v>
      </c>
      <c r="C13" s="2348">
        <v>43814</v>
      </c>
      <c r="D13" s="2351" t="s">
        <v>840</v>
      </c>
      <c r="E13" s="1026">
        <v>2014110011</v>
      </c>
      <c r="F13" s="1034">
        <v>49302</v>
      </c>
    </row>
    <row r="14" spans="1:6" ht="24" customHeight="1">
      <c r="A14" s="1707" t="s">
        <v>841</v>
      </c>
      <c r="B14" s="1026">
        <f ca="1">IF(C14&lt;B2,"已过期",1120130020)</f>
        <v>1120130020</v>
      </c>
      <c r="C14" s="2348">
        <v>43622</v>
      </c>
      <c r="D14" s="2351"/>
      <c r="E14" s="1026"/>
      <c r="F14" s="1026"/>
    </row>
    <row r="15" spans="1:6" ht="24" customHeight="1">
      <c r="A15" s="1708" t="s">
        <v>1149</v>
      </c>
      <c r="B15" s="1026">
        <v>1120070085</v>
      </c>
      <c r="C15" s="2348">
        <v>43814</v>
      </c>
      <c r="D15" s="2352" t="s">
        <v>1149</v>
      </c>
      <c r="E15" s="1026">
        <v>2004110128</v>
      </c>
      <c r="F15" s="1027">
        <v>47118</v>
      </c>
    </row>
    <row r="16" spans="1:6" ht="24" customHeight="1">
      <c r="A16" s="1707" t="s">
        <v>842</v>
      </c>
      <c r="B16" s="1026">
        <f ca="1">IF(C16&lt;B2,"已过期",1120140022)</f>
        <v>1120140022</v>
      </c>
      <c r="C16" s="2348">
        <v>44029</v>
      </c>
      <c r="D16" s="2351" t="s">
        <v>842</v>
      </c>
      <c r="E16" s="1026">
        <f ca="1">IF(F16&lt;B2,"已过期",2008110059)</f>
        <v>2008110059</v>
      </c>
      <c r="F16" s="1034">
        <v>47177</v>
      </c>
    </row>
    <row r="17" spans="1:7" ht="24" customHeight="1">
      <c r="A17" s="1707"/>
      <c r="B17" s="1026"/>
      <c r="C17" s="2348"/>
      <c r="D17" s="2351"/>
      <c r="E17" s="1026"/>
      <c r="F17" s="1034"/>
    </row>
    <row r="18" spans="1:7" ht="24" customHeight="1">
      <c r="A18" s="1707"/>
      <c r="B18" s="1026"/>
      <c r="C18" s="2348"/>
      <c r="D18" s="2351"/>
      <c r="E18" s="1026"/>
      <c r="F18" s="1034"/>
    </row>
    <row r="19" spans="1:7" ht="24" customHeight="1">
      <c r="A19" s="1707"/>
      <c r="B19" s="1026"/>
      <c r="C19" s="2348"/>
      <c r="D19" s="2351"/>
      <c r="E19" s="1026"/>
      <c r="F19" s="1026"/>
    </row>
    <row r="20" spans="1:7" ht="24" customHeight="1">
      <c r="A20" s="1707"/>
      <c r="B20" s="1026"/>
      <c r="C20" s="2348"/>
      <c r="D20" s="2351"/>
      <c r="E20" s="1026"/>
      <c r="F20" s="1026"/>
    </row>
    <row r="21" spans="1:7" ht="24" customHeight="1">
      <c r="A21" s="1707"/>
      <c r="B21" s="1026"/>
      <c r="C21" s="2348"/>
      <c r="D21" s="2351" t="s">
        <v>843</v>
      </c>
      <c r="E21" s="1026">
        <f ca="1">IF(F21&lt;B2,"已过期",2011110090)</f>
        <v>2011110090</v>
      </c>
      <c r="F21" s="1034">
        <v>48302</v>
      </c>
    </row>
    <row r="22" spans="1:7" ht="24" customHeight="1">
      <c r="A22" s="1707" t="s">
        <v>844</v>
      </c>
      <c r="B22" s="1026">
        <f ca="1">IF(C22&lt;B2,"已过期",1120020033)</f>
        <v>1120020033</v>
      </c>
      <c r="C22" s="2348">
        <v>43304</v>
      </c>
      <c r="D22" s="2351" t="s">
        <v>844</v>
      </c>
      <c r="E22" s="1026">
        <f ca="1">IF(F22&lt;B2,"已过期",2000110137)</f>
        <v>2000110137</v>
      </c>
      <c r="F22" s="1034">
        <v>46387</v>
      </c>
    </row>
    <row r="23" spans="1:7" ht="24" customHeight="1">
      <c r="A23" s="1707" t="s">
        <v>845</v>
      </c>
      <c r="B23" s="1026">
        <f ca="1">IF(C23&lt;B2,"已过期",1120130048)</f>
        <v>1120130048</v>
      </c>
      <c r="C23" s="2348">
        <v>43686</v>
      </c>
      <c r="D23" s="2351"/>
      <c r="E23" s="1026"/>
      <c r="F23" s="1026"/>
    </row>
    <row r="24" spans="1:7" s="1028" customFormat="1" ht="24" customHeight="1">
      <c r="A24" s="1708" t="s">
        <v>1334</v>
      </c>
      <c r="B24" s="1708" t="s">
        <v>1334</v>
      </c>
      <c r="C24" s="2349" t="s">
        <v>1334</v>
      </c>
      <c r="D24" s="2352" t="s">
        <v>1334</v>
      </c>
      <c r="E24" s="1708" t="s">
        <v>1334</v>
      </c>
      <c r="F24" s="1708" t="s">
        <v>1334</v>
      </c>
    </row>
    <row r="25" spans="1:7" ht="24" customHeight="1">
      <c r="A25" s="3143" t="s">
        <v>846</v>
      </c>
      <c r="B25" s="3143"/>
      <c r="C25" s="3143"/>
      <c r="D25" s="3143"/>
      <c r="E25" s="3143"/>
      <c r="F25" s="3143"/>
      <c r="G25" s="3143"/>
    </row>
    <row r="26" spans="1:7" s="1029" customFormat="1" ht="24" customHeight="1">
      <c r="A26" s="3144" t="s">
        <v>847</v>
      </c>
      <c r="B26" s="3144"/>
      <c r="C26" s="3145"/>
      <c r="D26" s="3146" t="s">
        <v>848</v>
      </c>
      <c r="E26" s="3144"/>
      <c r="F26" s="3144"/>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311" priority="55">
      <formula>AND($C28-TODAY()&lt;30,TODAY()&lt;$C28)</formula>
    </cfRule>
  </conditionalFormatting>
  <conditionalFormatting sqref="C28 F4">
    <cfRule type="cellIs" dxfId="310" priority="57" stopIfTrue="1" operator="lessThan">
      <formula>$B$2</formula>
    </cfRule>
  </conditionalFormatting>
  <conditionalFormatting sqref="C5">
    <cfRule type="expression" dxfId="309" priority="52">
      <formula>AND($C5-TODAY()&lt;30,TODAY()&lt;$C5)</formula>
    </cfRule>
  </conditionalFormatting>
  <conditionalFormatting sqref="C5 F5">
    <cfRule type="cellIs" dxfId="308" priority="53" stopIfTrue="1" operator="lessThan">
      <formula>$B$2</formula>
    </cfRule>
  </conditionalFormatting>
  <conditionalFormatting sqref="F6 F8 F10">
    <cfRule type="cellIs" dxfId="307" priority="51" stopIfTrue="1" operator="lessThan">
      <formula>$B$2</formula>
    </cfRule>
  </conditionalFormatting>
  <conditionalFormatting sqref="C4:C23">
    <cfRule type="expression" dxfId="306" priority="49">
      <formula>AND($C4-TODAY()&lt;30,TODAY()&lt;$C4)</formula>
    </cfRule>
  </conditionalFormatting>
  <conditionalFormatting sqref="F7 F9 F11 C4:C23">
    <cfRule type="cellIs" dxfId="305" priority="50" stopIfTrue="1" operator="lessThan">
      <formula>$B$2</formula>
    </cfRule>
  </conditionalFormatting>
  <conditionalFormatting sqref="C12">
    <cfRule type="expression" dxfId="304" priority="47">
      <formula>AND($C12-TODAY()&lt;30,TODAY()&lt;$C12)</formula>
    </cfRule>
  </conditionalFormatting>
  <conditionalFormatting sqref="C12">
    <cfRule type="cellIs" dxfId="303" priority="48" stopIfTrue="1" operator="lessThan">
      <formula>$B$2</formula>
    </cfRule>
  </conditionalFormatting>
  <conditionalFormatting sqref="C14">
    <cfRule type="expression" dxfId="302" priority="43">
      <formula>AND($C14-TODAY()&lt;30,TODAY()&lt;$C14)</formula>
    </cfRule>
  </conditionalFormatting>
  <conditionalFormatting sqref="C14">
    <cfRule type="cellIs" dxfId="301" priority="44" stopIfTrue="1" operator="lessThan">
      <formula>$B$2</formula>
    </cfRule>
  </conditionalFormatting>
  <conditionalFormatting sqref="C16">
    <cfRule type="expression" dxfId="300" priority="41">
      <formula>AND($C16-TODAY()&lt;30,TODAY()&lt;$C16)</formula>
    </cfRule>
  </conditionalFormatting>
  <conditionalFormatting sqref="C16">
    <cfRule type="cellIs" dxfId="299" priority="42" stopIfTrue="1" operator="lessThan">
      <formula>$B$2</formula>
    </cfRule>
  </conditionalFormatting>
  <conditionalFormatting sqref="C18">
    <cfRule type="expression" dxfId="298" priority="39">
      <formula>AND($C18-TODAY()&lt;30,TODAY()&lt;$C18)</formula>
    </cfRule>
  </conditionalFormatting>
  <conditionalFormatting sqref="C18">
    <cfRule type="cellIs" dxfId="297" priority="40" stopIfTrue="1" operator="lessThan">
      <formula>$B$2</formula>
    </cfRule>
  </conditionalFormatting>
  <conditionalFormatting sqref="C20">
    <cfRule type="expression" dxfId="296" priority="37">
      <formula>AND($C20-TODAY()&lt;30,TODAY()&lt;$C20)</formula>
    </cfRule>
  </conditionalFormatting>
  <conditionalFormatting sqref="C20">
    <cfRule type="cellIs" dxfId="295" priority="38" stopIfTrue="1" operator="lessThan">
      <formula>$B$2</formula>
    </cfRule>
  </conditionalFormatting>
  <conditionalFormatting sqref="C22">
    <cfRule type="expression" dxfId="294" priority="35">
      <formula>AND($C22-TODAY()&lt;30,TODAY()&lt;$C22)</formula>
    </cfRule>
  </conditionalFormatting>
  <conditionalFormatting sqref="C22">
    <cfRule type="cellIs" dxfId="293" priority="36" stopIfTrue="1" operator="lessThan">
      <formula>$B$2</formula>
    </cfRule>
  </conditionalFormatting>
  <conditionalFormatting sqref="C15">
    <cfRule type="expression" dxfId="292" priority="33">
      <formula>AND($C15-TODAY()&lt;30,TODAY()&lt;$C15)</formula>
    </cfRule>
  </conditionalFormatting>
  <conditionalFormatting sqref="C15">
    <cfRule type="cellIs" dxfId="291" priority="34" stopIfTrue="1" operator="lessThan">
      <formula>$B$2</formula>
    </cfRule>
  </conditionalFormatting>
  <conditionalFormatting sqref="C17">
    <cfRule type="expression" dxfId="290" priority="31">
      <formula>AND($C17-TODAY()&lt;30,TODAY()&lt;$C17)</formula>
    </cfRule>
  </conditionalFormatting>
  <conditionalFormatting sqref="C17">
    <cfRule type="cellIs" dxfId="289" priority="32" stopIfTrue="1" operator="lessThan">
      <formula>$B$2</formula>
    </cfRule>
  </conditionalFormatting>
  <conditionalFormatting sqref="C19">
    <cfRule type="expression" dxfId="288" priority="29">
      <formula>AND($C19-TODAY()&lt;30,TODAY()&lt;$C19)</formula>
    </cfRule>
  </conditionalFormatting>
  <conditionalFormatting sqref="C19">
    <cfRule type="cellIs" dxfId="287" priority="30" stopIfTrue="1" operator="lessThan">
      <formula>$B$2</formula>
    </cfRule>
  </conditionalFormatting>
  <conditionalFormatting sqref="C21">
    <cfRule type="expression" dxfId="286" priority="27">
      <formula>AND($C21-TODAY()&lt;30,TODAY()&lt;$C21)</formula>
    </cfRule>
  </conditionalFormatting>
  <conditionalFormatting sqref="C21">
    <cfRule type="cellIs" dxfId="285" priority="28" stopIfTrue="1" operator="lessThan">
      <formula>$B$2</formula>
    </cfRule>
  </conditionalFormatting>
  <conditionalFormatting sqref="C23">
    <cfRule type="expression" dxfId="284" priority="25">
      <formula>AND($C23-TODAY()&lt;30,TODAY()&lt;$C23)</formula>
    </cfRule>
  </conditionalFormatting>
  <conditionalFormatting sqref="C23">
    <cfRule type="cellIs" dxfId="283" priority="26" stopIfTrue="1" operator="lessThan">
      <formula>$B$2</formula>
    </cfRule>
  </conditionalFormatting>
  <conditionalFormatting sqref="F16">
    <cfRule type="cellIs" dxfId="282" priority="23" stopIfTrue="1" operator="lessThan">
      <formula>$B$2</formula>
    </cfRule>
  </conditionalFormatting>
  <conditionalFormatting sqref="F18">
    <cfRule type="cellIs" dxfId="281" priority="22" stopIfTrue="1" operator="lessThan">
      <formula>$B$2</formula>
    </cfRule>
  </conditionalFormatting>
  <conditionalFormatting sqref="F22">
    <cfRule type="cellIs" dxfId="280" priority="21" stopIfTrue="1" operator="lessThan">
      <formula>$B$2</formula>
    </cfRule>
  </conditionalFormatting>
  <conditionalFormatting sqref="F21">
    <cfRule type="cellIs" dxfId="279" priority="20" stopIfTrue="1" operator="lessThan">
      <formula>$B$2</formula>
    </cfRule>
  </conditionalFormatting>
  <conditionalFormatting sqref="F17">
    <cfRule type="cellIs" dxfId="278" priority="19" stopIfTrue="1" operator="lessThan">
      <formula>$B$2</formula>
    </cfRule>
  </conditionalFormatting>
  <conditionalFormatting sqref="B4:B14 E4:E14 B16:B23 E16:E23">
    <cfRule type="cellIs" dxfId="277" priority="18" stopIfTrue="1" operator="equal">
      <formula>"已过期"</formula>
    </cfRule>
  </conditionalFormatting>
  <conditionalFormatting sqref="A24:F24">
    <cfRule type="cellIs" dxfId="276" priority="14" stopIfTrue="1" operator="equal">
      <formula>"已过期"</formula>
    </cfRule>
  </conditionalFormatting>
  <conditionalFormatting sqref="F28">
    <cfRule type="expression" dxfId="275" priority="12">
      <formula>AND($E28-TODAY()&lt;30,TODAY()&lt;$E28)</formula>
    </cfRule>
  </conditionalFormatting>
  <conditionalFormatting sqref="F28">
    <cfRule type="cellIs" dxfId="274" priority="13" stopIfTrue="1" operator="lessThan">
      <formula>$B$2</formula>
    </cfRule>
  </conditionalFormatting>
  <conditionalFormatting sqref="F29">
    <cfRule type="expression" dxfId="273" priority="8" stopIfTrue="1">
      <formula>AND($E29-TODAY()&lt;30,TODAY()&lt;$E29)</formula>
    </cfRule>
  </conditionalFormatting>
  <conditionalFormatting sqref="F29">
    <cfRule type="cellIs" dxfId="272" priority="9" stopIfTrue="1" operator="lessThan">
      <formula>$B$2</formula>
    </cfRule>
  </conditionalFormatting>
  <conditionalFormatting sqref="B15">
    <cfRule type="cellIs" dxfId="271" priority="6" stopIfTrue="1" operator="equal">
      <formula>"已过期"</formula>
    </cfRule>
  </conditionalFormatting>
  <conditionalFormatting sqref="A15">
    <cfRule type="cellIs" dxfId="270" priority="5" stopIfTrue="1" operator="equal">
      <formula>"已过期"</formula>
    </cfRule>
  </conditionalFormatting>
  <conditionalFormatting sqref="C15">
    <cfRule type="expression" dxfId="269" priority="4">
      <formula>AND($C15-TODAY()&lt;30,TODAY()&lt;$C15)</formula>
    </cfRule>
  </conditionalFormatting>
  <conditionalFormatting sqref="E15">
    <cfRule type="cellIs" dxfId="268" priority="3" stopIfTrue="1" operator="equal">
      <formula>"已过期"</formula>
    </cfRule>
  </conditionalFormatting>
  <conditionalFormatting sqref="D15">
    <cfRule type="cellIs" dxfId="267" priority="2" stopIfTrue="1" operator="equal">
      <formula>"已过期"</formula>
    </cfRule>
  </conditionalFormatting>
  <conditionalFormatting sqref="F13">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218</vt:i4>
      </vt:variant>
    </vt:vector>
  </HeadingPairs>
  <TitlesOfParts>
    <vt:vector size="2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基准地价修正（地上2层）</vt:lpstr>
      <vt:lpstr>基准地价修正（地上1层）</vt:lpstr>
      <vt:lpstr>假设开发法</vt:lpstr>
      <vt:lpstr>比较法-办公</vt:lpstr>
      <vt:lpstr>比较法-办公已租</vt:lpstr>
      <vt:lpstr>典型户型修正-已租</vt:lpstr>
      <vt:lpstr>收益法-办公已租</vt:lpstr>
      <vt:lpstr>收益法-办公未租</vt:lpstr>
      <vt:lpstr>收益法 (元)</vt:lpstr>
      <vt:lpstr>比较法-办公租金</vt:lpstr>
      <vt:lpstr>结果表-办公</vt:lpstr>
      <vt:lpstr>结果表-办公已租</vt:lpstr>
      <vt:lpstr>比较法-办公未租（2）</vt:lpstr>
      <vt:lpstr>比较法-办公未租</vt:lpstr>
      <vt:lpstr>结果表-办公未租</vt:lpstr>
      <vt:lpstr>比较法-商业</vt:lpstr>
      <vt:lpstr>典型户型修正</vt:lpstr>
      <vt:lpstr>比较法-商业租金</vt:lpstr>
      <vt:lpstr>收益法-商业已租</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典型户型修正-租金</vt:lpstr>
      <vt:lpstr>收益法-未租商业</vt:lpstr>
      <vt:lpstr>基准地价（汇总）</vt:lpstr>
      <vt:lpstr>地价</vt:lpstr>
      <vt:lpstr>成本法（废）</vt:lpstr>
      <vt:lpstr>区片价</vt:lpstr>
      <vt:lpstr>因素修正幅度</vt:lpstr>
      <vt:lpstr>存贷款利率</vt:lpstr>
      <vt:lpstr>区片价（范围）</vt:lpstr>
      <vt:lpstr>Sheet3</vt:lpstr>
      <vt:lpstr>Sheet4</vt:lpstr>
      <vt:lpstr>结果表-商业</vt:lpstr>
      <vt:lpstr>Sheet5</vt:lpstr>
      <vt:lpstr>租约</vt:lpstr>
      <vt:lpstr>面积</vt:lpstr>
      <vt:lpstr>市场租金</vt:lpstr>
      <vt:lpstr>估价师及机构信息!Print_Area</vt:lpstr>
      <vt:lpstr>'收益法 (元)'!Print_Area</vt:lpstr>
      <vt:lpstr>'收益法-办公未租'!Print_Area</vt:lpstr>
      <vt:lpstr>'收益法-办公已租'!Print_Area</vt:lpstr>
      <vt:lpstr>'收益法-商业已租'!Print_Area</vt:lpstr>
      <vt:lpstr>'收益法-未租商业'!Print_Area</vt:lpstr>
      <vt:lpstr>'数据-汇总表'!Print_Area</vt:lpstr>
      <vt:lpstr>八级</vt:lpstr>
      <vt:lpstr>'比较法-办公未租'!办公层高</vt:lpstr>
      <vt:lpstr>'比较法-办公未租（2）'!办公层高</vt:lpstr>
      <vt:lpstr>'比较法-办公已租'!办公层高</vt:lpstr>
      <vt:lpstr>'比较法-办公租金'!办公层高</vt:lpstr>
      <vt:lpstr>办公层高</vt:lpstr>
      <vt:lpstr>'比较法-办公未租'!办公朝向</vt:lpstr>
      <vt:lpstr>'比较法-办公未租（2）'!办公朝向</vt:lpstr>
      <vt:lpstr>'比较法-办公已租'!办公朝向</vt:lpstr>
      <vt:lpstr>'比较法-办公租金'!办公朝向</vt:lpstr>
      <vt:lpstr>办公朝向</vt:lpstr>
      <vt:lpstr>'比较法-办公未租'!办公道路级别</vt:lpstr>
      <vt:lpstr>'比较法-办公未租（2）'!办公道路级别</vt:lpstr>
      <vt:lpstr>'比较法-办公已租'!办公道路级别</vt:lpstr>
      <vt:lpstr>'比较法-办公租金'!办公道路级别</vt:lpstr>
      <vt:lpstr>办公道路级别</vt:lpstr>
      <vt:lpstr>'比较法-办公未租'!办公公共部分装修</vt:lpstr>
      <vt:lpstr>'比较法-办公未租（2）'!办公公共部分装修</vt:lpstr>
      <vt:lpstr>'比较法-办公已租'!办公公共部分装修</vt:lpstr>
      <vt:lpstr>'比较法-办公租金'!办公公共部分装修</vt:lpstr>
      <vt:lpstr>办公公共部分装修</vt:lpstr>
      <vt:lpstr>'比较法-办公未租'!办公基础设施水平</vt:lpstr>
      <vt:lpstr>'比较法-办公未租（2）'!办公基础设施水平</vt:lpstr>
      <vt:lpstr>'比较法-办公已租'!办公基础设施水平</vt:lpstr>
      <vt:lpstr>'比较法-办公租金'!办公基础设施水平</vt:lpstr>
      <vt:lpstr>办公基础设施水平</vt:lpstr>
      <vt:lpstr>办公集聚程度</vt:lpstr>
      <vt:lpstr>'比较法-办公未租'!办公建筑结构</vt:lpstr>
      <vt:lpstr>'比较法-办公未租（2）'!办公建筑结构</vt:lpstr>
      <vt:lpstr>'比较法-办公已租'!办公建筑结构</vt:lpstr>
      <vt:lpstr>'比较法-办公租金'!办公建筑结构</vt:lpstr>
      <vt:lpstr>办公建筑结构</vt:lpstr>
      <vt:lpstr>'比较法-办公未租'!办公建筑类型</vt:lpstr>
      <vt:lpstr>'比较法-办公未租（2）'!办公建筑类型</vt:lpstr>
      <vt:lpstr>'比较法-办公已租'!办公建筑类型</vt:lpstr>
      <vt:lpstr>'比较法-办公租金'!办公建筑类型</vt:lpstr>
      <vt:lpstr>办公建筑类型</vt:lpstr>
      <vt:lpstr>'比较法-办公未租'!办公交易情况</vt:lpstr>
      <vt:lpstr>'比较法-办公未租（2）'!办公交易情况</vt:lpstr>
      <vt:lpstr>'比较法-办公已租'!办公交易情况</vt:lpstr>
      <vt:lpstr>'比较法-办公租金'!办公交易情况</vt:lpstr>
      <vt:lpstr>办公交易情况</vt:lpstr>
      <vt:lpstr>'比较法-办公未租'!办公楼层</vt:lpstr>
      <vt:lpstr>'比较法-办公未租（2）'!办公楼层</vt:lpstr>
      <vt:lpstr>'比较法-办公已租'!办公楼层</vt:lpstr>
      <vt:lpstr>'比较法-办公租金'!办公楼层</vt:lpstr>
      <vt:lpstr>办公楼层</vt:lpstr>
      <vt:lpstr>'比较法-办公未租'!办公内部装修</vt:lpstr>
      <vt:lpstr>'比较法-办公未租（2）'!办公内部装修</vt:lpstr>
      <vt:lpstr>'比较法-办公已租'!办公内部装修</vt:lpstr>
      <vt:lpstr>'比较法-办公租金'!办公内部装修</vt:lpstr>
      <vt:lpstr>办公内部装修</vt:lpstr>
      <vt:lpstr>'比较法-办公未租'!办公物业管理</vt:lpstr>
      <vt:lpstr>'比较法-办公未租（2）'!办公物业管理</vt:lpstr>
      <vt:lpstr>'比较法-办公已租'!办公物业管理</vt:lpstr>
      <vt:lpstr>'比较法-办公租金'!办公物业管理</vt:lpstr>
      <vt:lpstr>办公物业管理</vt:lpstr>
      <vt:lpstr>'比较法-办公未租'!办公用途</vt:lpstr>
      <vt:lpstr>'比较法-办公未租（2）'!办公用途</vt:lpstr>
      <vt:lpstr>'比较法-办公已租'!办公用途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'比较法-办公未租'!写字楼等级</vt:lpstr>
      <vt:lpstr>'比较法-办公未租（2）'!写字楼等级</vt:lpstr>
      <vt:lpstr>'比较法-办公已租'!写字楼等级</vt:lpstr>
      <vt:lpstr>'比较法-办公租金'!写字楼等级</vt:lpstr>
      <vt:lpstr>写字楼等级</vt:lpstr>
      <vt:lpstr>一级</vt:lpstr>
      <vt:lpstr>典型户型修正!一修多修正项2</vt:lpstr>
      <vt:lpstr>'典型户型修正-租金'!一修多修正项2</vt:lpstr>
      <vt:lpstr>一修多修正项2</vt:lpstr>
      <vt:lpstr>典型户型修正!一修多修正项3</vt:lpstr>
      <vt:lpstr>'典型户型修正-租金'!一修多修正项3</vt:lpstr>
      <vt:lpstr>一修多修正项3</vt:lpstr>
      <vt:lpstr>典型户型修正!一修多修正项4</vt:lpstr>
      <vt:lpstr>'典型户型修正-租金'!一修多修正项4</vt:lpstr>
      <vt:lpstr>一修多修正项4</vt:lpstr>
      <vt:lpstr>典型户型修正!一修多修正项5</vt:lpstr>
      <vt:lpstr>'典型户型修正-租金'!一修多修正项5</vt:lpstr>
      <vt:lpstr>一修多修正项5</vt:lpstr>
      <vt:lpstr>典型户型修正!一修多修正项6</vt:lpstr>
      <vt:lpstr>'典型户型修正-租金'!一修多修正项6</vt:lpstr>
      <vt:lpstr>一修多修正项6</vt:lpstr>
      <vt:lpstr>典型户型修正!一修多修正项7</vt:lpstr>
      <vt:lpstr>'典型户型修正-租金'!一修多修正项7</vt:lpstr>
      <vt:lpstr>一修多修正项7</vt:lpstr>
      <vt:lpstr>典型户型修正!一修多修正项8</vt:lpstr>
      <vt:lpstr>'典型户型修正-租金'!一修多修正项8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2018-03-15T06:53:46Z</cp:lastPrinted>
  <dcterms:created xsi:type="dcterms:W3CDTF">2015-07-13T07:17:23Z</dcterms:created>
  <dcterms:modified xsi:type="dcterms:W3CDTF">2018-05-05T15:15:07Z</dcterms:modified>
</cp:coreProperties>
</file>